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756497D3-6F20-48B7-A206-85B925AAF309}" xr6:coauthVersionLast="47" xr6:coauthVersionMax="47" xr10:uidLastSave="{00000000-0000-0000-0000-000000000000}"/>
  <bookViews>
    <workbookView xWindow="25905" yWindow="5205" windowWidth="28770" windowHeight="17190" activeTab="1" xr2:uid="{FF64AF30-3015-1142-92FA-2A2ED079457A}"/>
  </bookViews>
  <sheets>
    <sheet name="Variable_List" sheetId="2" r:id="rId1"/>
    <sheet name="SPS4" sheetId="1" r:id="rId2"/>
    <sheet name="check" sheetId="4" r:id="rId3"/>
  </sheets>
  <externalReferences>
    <externalReference r:id="rId4"/>
  </externalReferences>
  <definedNames>
    <definedName name="_xlnm._FilterDatabase" localSheetId="1" hidden="1">'SPS4'!$A$1:$K$1753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G1688" i="1" a="1"/>
  <c r="G1688" i="1" s="1"/>
  <c r="I1688" i="1" a="1"/>
  <c r="I1688" i="1" s="1"/>
  <c r="F1688" i="1" a="1"/>
  <c r="F1688" i="1" s="1"/>
  <c r="K1688" i="1" a="1"/>
  <c r="K1688" i="1" s="1"/>
  <c r="H1688" i="1" a="1"/>
  <c r="H1688" i="1" s="1"/>
  <c r="J1688" i="1" a="1"/>
  <c r="J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2016" i="1" a="1"/>
  <c r="K2016" i="1" s="1"/>
  <c r="I2016" i="1" a="1"/>
  <c r="I2016" i="1" s="1"/>
  <c r="J2016" i="1" a="1"/>
  <c r="J2016" i="1" s="1"/>
  <c r="H2010" i="1" a="1"/>
  <c r="H2010" i="1" s="1"/>
  <c r="G2010" i="1" a="1"/>
  <c r="G2010" i="1" s="1"/>
  <c r="H2013" i="1" a="1"/>
  <c r="H2013" i="1" s="1"/>
  <c r="G2013" i="1" a="1"/>
  <c r="G2013" i="1" s="1"/>
  <c r="K2008" i="1" a="1"/>
  <c r="K2008" i="1" s="1"/>
  <c r="H2012" i="1" a="1"/>
  <c r="H2012" i="1" s="1"/>
  <c r="K2009" i="1" a="1"/>
  <c r="K2009" i="1" s="1"/>
  <c r="F2011" i="1" a="1"/>
  <c r="F2011" i="1" s="1"/>
  <c r="F2012" i="1" s="1" a="1"/>
  <c r="F2012" i="1" s="1"/>
  <c r="H2016" i="1" a="1"/>
  <c r="H2016" i="1" s="1"/>
  <c r="F2016" i="1" a="1"/>
  <c r="F2016" i="1" s="1"/>
  <c r="H2015" i="1" a="1"/>
  <c r="H2015" i="1" s="1"/>
  <c r="F2015" i="1" a="1"/>
  <c r="F2015" i="1" s="1"/>
  <c r="H2011" i="1" a="1"/>
  <c r="H2011" i="1" s="1"/>
  <c r="J2010" i="1" a="1"/>
  <c r="J2010" i="1" s="1"/>
  <c r="F2013" i="1" a="1"/>
  <c r="F2013" i="1" s="1"/>
  <c r="J2015" i="1" a="1"/>
  <c r="J2015" i="1"/>
  <c r="K2015" i="1" a="1"/>
  <c r="K2015" i="1" s="1"/>
  <c r="G2015" i="1" a="1"/>
  <c r="G2015" i="1" s="1"/>
  <c r="G2011" i="1" a="1"/>
  <c r="G2011" i="1" s="1"/>
  <c r="H2014" i="1" a="1"/>
  <c r="H2014" i="1" s="1"/>
  <c r="K2013" i="1" a="1"/>
  <c r="K2013" i="1" s="1"/>
  <c r="K2014" i="1" s="1" a="1"/>
  <c r="K2014" i="1" s="1"/>
  <c r="J2006" i="1" a="1"/>
  <c r="J2006" i="1" s="1"/>
  <c r="I2010" i="1" a="1"/>
  <c r="I2010" i="1" s="1"/>
  <c r="I2013" i="1" a="1"/>
  <c r="I2013" i="1" s="1"/>
  <c r="I2014" i="1" s="1" a="1"/>
  <c r="I2014" i="1" s="1"/>
  <c r="F2006" i="1" a="1"/>
  <c r="F2006" i="1" s="1"/>
  <c r="I2006" i="1" a="1"/>
  <c r="I2006" i="1" s="1"/>
  <c r="G2014" i="1" a="1"/>
  <c r="G2014" i="1" s="1"/>
  <c r="G2016" i="1" a="1"/>
  <c r="G2016" i="1" s="1"/>
  <c r="I2015" i="1" a="1"/>
  <c r="I2015" i="1" s="1"/>
  <c r="F2010" i="1" a="1"/>
  <c r="F2010" i="1" s="1"/>
  <c r="K2011" i="1" a="1"/>
  <c r="K2011" i="1" s="1"/>
  <c r="K2012" i="1" s="1" a="1"/>
  <c r="K2012" i="1" s="1"/>
  <c r="I2011" i="1" a="1"/>
  <c r="I2011" i="1" s="1"/>
  <c r="I2012" i="1" s="1" a="1"/>
  <c r="I2012" i="1" s="1"/>
  <c r="H2008" i="1" a="1"/>
  <c r="H2008" i="1" s="1"/>
  <c r="G2006" i="1" a="1"/>
  <c r="G2006" i="1" s="1"/>
  <c r="K2006" i="1" a="1"/>
  <c r="K2006" i="1" s="1"/>
  <c r="J2013" i="1" a="1"/>
  <c r="J2013" i="1" s="1"/>
  <c r="J2014" i="1" s="1" a="1"/>
  <c r="J2014" i="1" s="1"/>
  <c r="H2006" i="1" a="1"/>
  <c r="H2006" i="1" s="1"/>
  <c r="G2012" i="1" a="1"/>
  <c r="G2012" i="1" s="1"/>
  <c r="J2008" i="1" a="1"/>
  <c r="J2008" i="1" s="1"/>
  <c r="J2009" i="1" s="1" a="1"/>
  <c r="J2009" i="1" s="1"/>
  <c r="I2008" i="1" a="1"/>
  <c r="I2008" i="1" s="1"/>
  <c r="I2009" i="1" s="1" a="1"/>
  <c r="I2009" i="1" s="1"/>
  <c r="F2014" i="1" a="1"/>
  <c r="F2014" i="1" s="1"/>
  <c r="J2011" i="1" a="1"/>
  <c r="J2011" i="1" s="1"/>
  <c r="J2012" i="1" s="1" a="1"/>
  <c r="J2012" i="1" s="1"/>
  <c r="F2008" i="1" a="1"/>
  <c r="F2008" i="1" s="1"/>
  <c r="F2009" i="1" s="1" a="1"/>
  <c r="F2009" i="1" s="1"/>
  <c r="K2010" i="1" a="1"/>
  <c r="K2010" i="1" s="1"/>
  <c r="H2009" i="1" a="1"/>
  <c r="H2009" i="1" s="1"/>
  <c r="G2008" i="1" a="1"/>
  <c r="G2008" i="1" s="1"/>
  <c r="G2009" i="1" s="1" a="1"/>
  <c r="G2009" i="1" s="1"/>
  <c r="F1996" i="1" a="1"/>
  <c r="F1996" i="1" s="1"/>
  <c r="J2000" i="1" a="1"/>
  <c r="J2000" i="1" s="1"/>
  <c r="J2003" i="1" a="1"/>
  <c r="J2003" i="1" s="1"/>
  <c r="I2003" i="1" a="1"/>
  <c r="I2003" i="1" s="1"/>
  <c r="G2003" i="1" a="1"/>
  <c r="G2003" i="1" s="1"/>
  <c r="G2004" i="1" s="1" a="1"/>
  <c r="G2004" i="1" s="1"/>
  <c r="H2001" i="1" a="1"/>
  <c r="H2001" i="1" s="1"/>
  <c r="F2000" i="1" a="1"/>
  <c r="F2000" i="1" s="1"/>
  <c r="J1998" i="1" a="1"/>
  <c r="J1998" i="1" s="1"/>
  <c r="J1999" i="1" s="1" a="1"/>
  <c r="J1999" i="1" s="1"/>
  <c r="J2001" i="1" a="1"/>
  <c r="J2001" i="1" s="1"/>
  <c r="K1999" i="1" a="1"/>
  <c r="K1999" i="1" s="1"/>
  <c r="F1995" i="1" a="1"/>
  <c r="F1995" i="1" s="1"/>
  <c r="I2001" i="1" a="1"/>
  <c r="I2001" i="1" s="1"/>
  <c r="I2002" i="1" s="1" a="1"/>
  <c r="I2002" i="1" s="1"/>
  <c r="H2000" i="1" a="1"/>
  <c r="H2000" i="1" s="1"/>
  <c r="K2000" i="1" a="1"/>
  <c r="K2000" i="1" s="1"/>
  <c r="H1998" i="1" a="1"/>
  <c r="H1998" i="1" s="1"/>
  <c r="H1999" i="1" s="1" a="1"/>
  <c r="H1999" i="1" s="1"/>
  <c r="I1998" i="1" a="1"/>
  <c r="I1998" i="1" s="1"/>
  <c r="I1999" i="1" s="1" a="1"/>
  <c r="I1999" i="1" s="1"/>
  <c r="J1996" i="1" a="1"/>
  <c r="J1996" i="1" s="1"/>
  <c r="K2003" i="1" a="1"/>
  <c r="K2003" i="1" s="1"/>
  <c r="K2004" i="1" s="1" a="1"/>
  <c r="K2004" i="1" s="1"/>
  <c r="F2003" i="1" a="1"/>
  <c r="F2003" i="1" s="1"/>
  <c r="K2005" i="1" a="1"/>
  <c r="K2005" i="1" s="1"/>
  <c r="I1995" i="1" a="1"/>
  <c r="I1995" i="1" s="1"/>
  <c r="J2005" i="1" a="1"/>
  <c r="J2005" i="1" s="1"/>
  <c r="I2005" i="1" a="1"/>
  <c r="I2005" i="1" s="1"/>
  <c r="H2005" i="1" a="1"/>
  <c r="H2005" i="1" s="1"/>
  <c r="G2005" i="1" a="1"/>
  <c r="G2005" i="1" s="1"/>
  <c r="H1996" i="1" a="1"/>
  <c r="H1996" i="1" s="1"/>
  <c r="F2001" i="1" a="1"/>
  <c r="F2001" i="1" s="1"/>
  <c r="F2002" i="1" s="1" a="1"/>
  <c r="F2002" i="1" s="1"/>
  <c r="K1996" i="1" a="1"/>
  <c r="K1996" i="1" s="1"/>
  <c r="F2005" i="1" a="1"/>
  <c r="F2005" i="1" s="1"/>
  <c r="K1998" i="1" a="1"/>
  <c r="K1998" i="1" s="1"/>
  <c r="G1998" i="1" a="1"/>
  <c r="G1998" i="1" s="1"/>
  <c r="G1999" i="1" s="1" a="1"/>
  <c r="G1999" i="1" s="1"/>
  <c r="F1998" i="1" a="1"/>
  <c r="F1998" i="1" s="1"/>
  <c r="F1999" i="1" s="1" a="1"/>
  <c r="F1999" i="1" s="1"/>
  <c r="K2001" i="1" a="1"/>
  <c r="K2001" i="1" s="1"/>
  <c r="K2002" i="1" s="1" a="1"/>
  <c r="K2002" i="1" s="1"/>
  <c r="H2002" i="1" a="1"/>
  <c r="H2002" i="1" s="1"/>
  <c r="K1995" i="1" a="1"/>
  <c r="K1995" i="1" s="1"/>
  <c r="F2004" i="1" a="1"/>
  <c r="F2004" i="1" s="1"/>
  <c r="H2003" i="1" a="1"/>
  <c r="H2003" i="1" s="1"/>
  <c r="H2004" i="1" s="1" a="1"/>
  <c r="H2004" i="1" s="1"/>
  <c r="J2002" i="1" a="1"/>
  <c r="J2002" i="1" s="1"/>
  <c r="J1995" i="1" a="1"/>
  <c r="J1995" i="1" s="1"/>
  <c r="G2001" i="1" a="1"/>
  <c r="G2001" i="1" s="1"/>
  <c r="G2002" i="1" s="1" a="1"/>
  <c r="G2002" i="1" s="1"/>
  <c r="I1996" i="1" a="1"/>
  <c r="I1996" i="1" s="1"/>
  <c r="H1995" i="1" a="1"/>
  <c r="H1995" i="1" s="1"/>
  <c r="G1995" i="1" a="1"/>
  <c r="G1995" i="1" s="1"/>
  <c r="G1996" i="1" a="1"/>
  <c r="G1996" i="1" s="1"/>
  <c r="K1994" i="1" a="1"/>
  <c r="K1994" i="1" s="1"/>
  <c r="J2004" i="1" a="1"/>
  <c r="J2004" i="1" s="1"/>
  <c r="I2004" i="1" a="1"/>
  <c r="I2004" i="1" s="1"/>
  <c r="I2000" i="1" a="1"/>
  <c r="I2000" i="1" s="1"/>
  <c r="G2000" i="1" a="1"/>
  <c r="G2000" i="1" s="1"/>
  <c r="G1990" i="1" a="1"/>
  <c r="G1990" i="1" s="1"/>
  <c r="J1992" i="1" a="1"/>
  <c r="J1992" i="1"/>
  <c r="J1988" i="1" a="1"/>
  <c r="J1988" i="1" s="1"/>
  <c r="H1991" i="1" a="1"/>
  <c r="H1991" i="1" s="1"/>
  <c r="J1993" i="1" a="1"/>
  <c r="J1993" i="1" s="1"/>
  <c r="I1993" i="1" a="1"/>
  <c r="I1993" i="1" s="1"/>
  <c r="H1992" i="1" a="1"/>
  <c r="H1992" i="1" s="1"/>
  <c r="I1984" i="1" a="1"/>
  <c r="I1984" i="1" s="1"/>
  <c r="H1993" i="1" a="1"/>
  <c r="H1993" i="1" s="1"/>
  <c r="K1992" i="1" a="1"/>
  <c r="K1992" i="1" s="1"/>
  <c r="F1988" i="1" a="1"/>
  <c r="F1988" i="1" s="1"/>
  <c r="H1985" i="1" a="1"/>
  <c r="H1985" i="1"/>
  <c r="J1991" i="1" a="1"/>
  <c r="J1991" i="1" s="1"/>
  <c r="I1990" i="1" a="1"/>
  <c r="I1990" i="1" s="1"/>
  <c r="G1993" i="1" a="1"/>
  <c r="G1993" i="1" s="1"/>
  <c r="I1989" i="1" a="1"/>
  <c r="I1989" i="1" s="1"/>
  <c r="G1988" i="1" a="1"/>
  <c r="G1988" i="1" s="1"/>
  <c r="H1989" i="1" a="1"/>
  <c r="H1989" i="1" s="1"/>
  <c r="G1985" i="1" a="1"/>
  <c r="G1985" i="1" s="1"/>
  <c r="F1993" i="1" a="1"/>
  <c r="F1993" i="1" s="1"/>
  <c r="J1987" i="1" a="1"/>
  <c r="J1987" i="1" s="1"/>
  <c r="G1992" i="1" a="1"/>
  <c r="G1992" i="1" s="1"/>
  <c r="J1984" i="1" a="1"/>
  <c r="J1984" i="1" s="1"/>
  <c r="F1992" i="1" a="1"/>
  <c r="F1992" i="1" s="1"/>
  <c r="K1991" i="1" a="1"/>
  <c r="K1991" i="1" s="1"/>
  <c r="G1991" i="1" a="1"/>
  <c r="G1991" i="1" s="1"/>
  <c r="K1988" i="1" a="1"/>
  <c r="K1988" i="1" s="1"/>
  <c r="I1986" i="1" a="1"/>
  <c r="I1986" i="1" s="1"/>
  <c r="H1988" i="1" a="1"/>
  <c r="H1988" i="1" s="1"/>
  <c r="G1986" i="1" a="1"/>
  <c r="G1986" i="1" s="1"/>
  <c r="H1986" i="1" a="1"/>
  <c r="H1986" i="1" s="1"/>
  <c r="I1988" i="1" a="1"/>
  <c r="I1988" i="1" s="1"/>
  <c r="I1991" i="1" a="1"/>
  <c r="I1991" i="1" s="1"/>
  <c r="J1990" i="1" a="1"/>
  <c r="J1990" i="1" s="1"/>
  <c r="I1987" i="1" a="1"/>
  <c r="I1987" i="1" s="1"/>
  <c r="H1987" i="1" a="1"/>
  <c r="H1987" i="1" s="1"/>
  <c r="K1986" i="1" a="1"/>
  <c r="K1986" i="1" s="1"/>
  <c r="F1991" i="1" a="1"/>
  <c r="F1991" i="1" s="1"/>
  <c r="I1985" i="1" a="1"/>
  <c r="I1985" i="1" s="1"/>
  <c r="H1984" i="1" a="1"/>
  <c r="H1984" i="1" s="1"/>
  <c r="H1990" i="1" a="1"/>
  <c r="H1990" i="1" s="1"/>
  <c r="J1989" i="1" a="1"/>
  <c r="J1989" i="1" s="1"/>
  <c r="K1985" i="1" a="1"/>
  <c r="K1985" i="1" s="1"/>
  <c r="F1986" i="1" a="1"/>
  <c r="F1986" i="1" s="1"/>
  <c r="J1985" i="1" a="1"/>
  <c r="J1985" i="1" s="1"/>
  <c r="K1984" i="1" a="1"/>
  <c r="K1984" i="1" s="1"/>
  <c r="J1986" i="1" a="1"/>
  <c r="J1986" i="1" s="1"/>
  <c r="G1989" i="1" a="1"/>
  <c r="G1989" i="1" s="1"/>
  <c r="K1987" i="1" a="1"/>
  <c r="K1987" i="1" s="1"/>
  <c r="G1984" i="1" a="1"/>
  <c r="G1984" i="1" s="1"/>
  <c r="K1990" i="1" a="1"/>
  <c r="K1990" i="1" s="1"/>
  <c r="F1990" i="1" a="1"/>
  <c r="F1990" i="1"/>
  <c r="K1989" i="1" a="1"/>
  <c r="K1989" i="1" s="1"/>
  <c r="G1987" i="1" a="1"/>
  <c r="G1987" i="1" s="1"/>
  <c r="J1994" i="1" a="1"/>
  <c r="J1994" i="1" s="1"/>
  <c r="I1994" i="1" a="1"/>
  <c r="I1994" i="1" s="1"/>
  <c r="H1994" i="1" a="1"/>
  <c r="H1994" i="1" s="1"/>
  <c r="G1994" i="1" a="1"/>
  <c r="G1994" i="1" s="1"/>
  <c r="F1994" i="1" a="1"/>
  <c r="F1994" i="1" s="1"/>
  <c r="F1989" i="1" a="1"/>
  <c r="F1989" i="1" s="1"/>
  <c r="F1987" i="1" a="1"/>
  <c r="F1987" i="1" s="1"/>
  <c r="F1985" i="1" a="1"/>
  <c r="F1985" i="1"/>
  <c r="I1992" i="1" a="1"/>
  <c r="I1992" i="1" s="1"/>
  <c r="K1993" i="1" a="1"/>
  <c r="K1993" i="1" s="1"/>
  <c r="F1972" i="1" a="1"/>
  <c r="F1972" i="1" s="1"/>
  <c r="H1971" i="1" a="1"/>
  <c r="H1971" i="1" s="1"/>
  <c r="J1969" i="1" a="1"/>
  <c r="J1969" i="1" s="1"/>
  <c r="K1969" i="1" a="1"/>
  <c r="K1969" i="1" s="1"/>
  <c r="H1970" i="1" a="1"/>
  <c r="H1970" i="1" s="1"/>
  <c r="G1969" i="1" a="1"/>
  <c r="G1969" i="1" s="1"/>
  <c r="I1968" i="1" a="1"/>
  <c r="I1968" i="1" s="1"/>
  <c r="F1967" i="1" a="1"/>
  <c r="F1967" i="1"/>
  <c r="K1964" i="1" a="1"/>
  <c r="K1964" i="1" s="1"/>
  <c r="I1967" i="1" a="1"/>
  <c r="I1967" i="1" s="1"/>
  <c r="H1968" i="1" a="1"/>
  <c r="H1968" i="1" s="1"/>
  <c r="I1965" i="1" a="1"/>
  <c r="I1965" i="1" s="1"/>
  <c r="F1968" i="1" a="1"/>
  <c r="F1968" i="1" s="1"/>
  <c r="G1965" i="1" a="1"/>
  <c r="G1965" i="1" s="1"/>
  <c r="F1964" i="1" a="1"/>
  <c r="F1964" i="1" s="1"/>
  <c r="J1967" i="1" a="1"/>
  <c r="J1967" i="1" s="1"/>
  <c r="I1966" i="1" a="1"/>
  <c r="I1966" i="1" s="1"/>
  <c r="J1964" i="1" a="1"/>
  <c r="J1964" i="1"/>
  <c r="G1967" i="1" a="1"/>
  <c r="G1967" i="1" s="1"/>
  <c r="K1965" i="1" a="1"/>
  <c r="K1965" i="1" s="1"/>
  <c r="G1966" i="1" a="1"/>
  <c r="G1966" i="1" s="1"/>
  <c r="J1968" i="1" a="1"/>
  <c r="J1968" i="1" s="1"/>
  <c r="H1969" i="1" a="1"/>
  <c r="H1969" i="1" s="1"/>
  <c r="H1966" i="1" a="1"/>
  <c r="H1966" i="1" s="1"/>
  <c r="H1964" i="1" a="1"/>
  <c r="H1964" i="1" s="1"/>
  <c r="G1964" i="1" a="1"/>
  <c r="G1964" i="1" s="1"/>
  <c r="F1970" i="1" a="1"/>
  <c r="F1970" i="1" s="1"/>
  <c r="I1970" i="1" a="1"/>
  <c r="I1970" i="1" s="1"/>
  <c r="I1964" i="1" a="1"/>
  <c r="I1964" i="1" s="1"/>
  <c r="I1972" i="1" a="1"/>
  <c r="I1972" i="1" s="1"/>
  <c r="K1966" i="1" a="1"/>
  <c r="K1966" i="1" s="1"/>
  <c r="G1971" i="1" a="1"/>
  <c r="G1971" i="1" s="1"/>
  <c r="K1970" i="1" a="1"/>
  <c r="K1970" i="1" s="1"/>
  <c r="F1969" i="1" a="1"/>
  <c r="F1969" i="1" s="1"/>
  <c r="J1965" i="1" a="1"/>
  <c r="J1965" i="1" s="1"/>
  <c r="K1972" i="1" a="1"/>
  <c r="K1972" i="1" s="1"/>
  <c r="J1972" i="1" a="1"/>
  <c r="J1972" i="1" s="1"/>
  <c r="F1965" i="1" a="1"/>
  <c r="F1965" i="1"/>
  <c r="F1966" i="1" a="1"/>
  <c r="F1966" i="1" s="1"/>
  <c r="G1968" i="1" a="1"/>
  <c r="G1968" i="1" s="1"/>
  <c r="K1967" i="1" a="1"/>
  <c r="K1967" i="1" s="1"/>
  <c r="H1972" i="1" a="1"/>
  <c r="H1972" i="1" s="1"/>
  <c r="G1970" i="1" a="1"/>
  <c r="G1970" i="1" s="1"/>
  <c r="K1971" i="1" a="1"/>
  <c r="K1971" i="1" s="1"/>
  <c r="J1971" i="1" a="1"/>
  <c r="J1971" i="1" s="1"/>
  <c r="I1971" i="1" a="1"/>
  <c r="I1971" i="1" s="1"/>
  <c r="F1971" i="1" a="1"/>
  <c r="F1971" i="1" s="1"/>
  <c r="J1966" i="1" a="1"/>
  <c r="J1966" i="1" s="1"/>
  <c r="H1967" i="1" a="1"/>
  <c r="H1967" i="1" s="1"/>
  <c r="J1970" i="1" a="1"/>
  <c r="J1970" i="1" s="1"/>
  <c r="H1965" i="1" a="1"/>
  <c r="H1965" i="1" s="1"/>
  <c r="I1969" i="1" a="1"/>
  <c r="I1969" i="1" s="1"/>
  <c r="G1972" i="1" a="1"/>
  <c r="G1972" i="1" s="1"/>
  <c r="K1968" i="1" a="1"/>
  <c r="K1968" i="1" s="1"/>
  <c r="K1961" i="1" a="1"/>
  <c r="K1961" i="1" s="1"/>
  <c r="I1961" i="1" a="1"/>
  <c r="I1961" i="1" s="1"/>
  <c r="I1959" i="1" a="1"/>
  <c r="I1959" i="1" s="1"/>
  <c r="F1959" i="1" a="1"/>
  <c r="F1959" i="1" s="1"/>
  <c r="H1957" i="1" a="1"/>
  <c r="H1957" i="1" s="1"/>
  <c r="J1953" i="1" a="1"/>
  <c r="J1953" i="1" s="1"/>
  <c r="H1961" i="1" a="1"/>
  <c r="H1961" i="1" s="1"/>
  <c r="H1960" i="1" a="1"/>
  <c r="H1960" i="1" s="1"/>
  <c r="K1955" i="1" a="1"/>
  <c r="K1955" i="1" s="1"/>
  <c r="F1958" i="1" a="1"/>
  <c r="F1958" i="1" s="1"/>
  <c r="F1957" i="1" a="1"/>
  <c r="F1957" i="1" s="1"/>
  <c r="K1954" i="1" a="1"/>
  <c r="K1954" i="1" s="1"/>
  <c r="G1954" i="1" a="1"/>
  <c r="G1954" i="1" s="1"/>
  <c r="J1960" i="1" a="1"/>
  <c r="J1960" i="1" s="1"/>
  <c r="H1959" i="1" a="1"/>
  <c r="H1959" i="1" s="1"/>
  <c r="G1955" i="1" a="1"/>
  <c r="G1955" i="1" s="1"/>
  <c r="G1963" i="1" a="1"/>
  <c r="G1963" i="1" s="1"/>
  <c r="F1963" i="1" a="1"/>
  <c r="F1963" i="1" s="1"/>
  <c r="G1962" i="1" a="1"/>
  <c r="G1962" i="1" s="1"/>
  <c r="G1957" i="1" a="1"/>
  <c r="G1957" i="1" s="1"/>
  <c r="J1962" i="1" a="1"/>
  <c r="J1962" i="1" s="1"/>
  <c r="I1955" i="1" a="1"/>
  <c r="I1955" i="1" s="1"/>
  <c r="F1962" i="1" a="1"/>
  <c r="F1962" i="1" s="1"/>
  <c r="G1961" i="1" a="1"/>
  <c r="G1961" i="1" s="1"/>
  <c r="G1958" i="1" a="1"/>
  <c r="G1958" i="1" s="1"/>
  <c r="J1954" i="1" a="1"/>
  <c r="J1954" i="1" s="1"/>
  <c r="J1959" i="1" a="1"/>
  <c r="J1959" i="1" s="1"/>
  <c r="K1958" i="1" a="1"/>
  <c r="K1958" i="1" s="1"/>
  <c r="I1958" i="1" a="1"/>
  <c r="I1958" i="1" s="1"/>
  <c r="J1955" i="1" a="1"/>
  <c r="J1955" i="1" s="1"/>
  <c r="J1958" i="1" a="1"/>
  <c r="J1958" i="1" s="1"/>
  <c r="K1957" i="1" a="1"/>
  <c r="K1957" i="1" s="1"/>
  <c r="H1954" i="1" a="1"/>
  <c r="H1954" i="1" s="1"/>
  <c r="J1956" i="1" a="1"/>
  <c r="J1956" i="1" s="1"/>
  <c r="H1955" i="1" a="1"/>
  <c r="H1955" i="1" s="1"/>
  <c r="F1955" i="1" a="1"/>
  <c r="F1955" i="1" s="1"/>
  <c r="H1958" i="1" a="1"/>
  <c r="H1958" i="1" s="1"/>
  <c r="I1957" i="1" a="1"/>
  <c r="I1957" i="1" s="1"/>
  <c r="I1953" i="1" a="1"/>
  <c r="I1953" i="1" s="1"/>
  <c r="I1956" i="1" a="1"/>
  <c r="I1956" i="1" s="1"/>
  <c r="K1956" i="1" a="1"/>
  <c r="K1956" i="1" s="1"/>
  <c r="G1956" i="1" a="1"/>
  <c r="G1956" i="1" s="1"/>
  <c r="H1953" i="1" a="1"/>
  <c r="H1953" i="1" s="1"/>
  <c r="H1963" i="1" a="1"/>
  <c r="H1963" i="1" s="1"/>
  <c r="J1961" i="1" a="1"/>
  <c r="J1961" i="1" s="1"/>
  <c r="I1960" i="1" a="1"/>
  <c r="I1960" i="1" s="1"/>
  <c r="K1963" i="1" a="1"/>
  <c r="K1963" i="1" s="1"/>
  <c r="F1961" i="1" a="1"/>
  <c r="F1961" i="1" s="1"/>
  <c r="F1960" i="1" a="1"/>
  <c r="F1960" i="1" s="1"/>
  <c r="J1963" i="1" a="1"/>
  <c r="J1963" i="1" s="1"/>
  <c r="G1960" i="1" a="1"/>
  <c r="G1960" i="1" s="1"/>
  <c r="F1956" i="1" a="1"/>
  <c r="F1956" i="1" s="1"/>
  <c r="K1959" i="1" a="1"/>
  <c r="K1959" i="1" s="1"/>
  <c r="G1959" i="1" a="1"/>
  <c r="G1959" i="1" s="1"/>
  <c r="I1963" i="1" a="1"/>
  <c r="I1963" i="1" s="1"/>
  <c r="K1962" i="1" a="1"/>
  <c r="K1962" i="1" s="1"/>
  <c r="I1962" i="1" a="1"/>
  <c r="I1962" i="1" s="1"/>
  <c r="I1954" i="1" a="1"/>
  <c r="I1954" i="1" s="1"/>
  <c r="K1953" i="1" a="1"/>
  <c r="K1953" i="1" s="1"/>
  <c r="H1962" i="1" a="1"/>
  <c r="H1962" i="1" s="1"/>
  <c r="F1954" i="1" a="1"/>
  <c r="F1954" i="1" s="1"/>
  <c r="K1960" i="1" a="1"/>
  <c r="K1960" i="1" s="1"/>
  <c r="J1957" i="1" a="1"/>
  <c r="J1957" i="1" s="1"/>
  <c r="H1956" i="1" a="1"/>
  <c r="H1956" i="1" s="1"/>
  <c r="K1943" i="1" a="1"/>
  <c r="K1943" i="1" s="1"/>
  <c r="H1947" i="1" a="1"/>
  <c r="H1947" i="1" s="1"/>
  <c r="G1953" i="1" a="1"/>
  <c r="G1953" i="1" s="1"/>
  <c r="H1948" i="1" a="1"/>
  <c r="H1948" i="1" s="1"/>
  <c r="G1947" i="1" a="1"/>
  <c r="G1947" i="1" s="1"/>
  <c r="G1950" i="1" a="1"/>
  <c r="G1950" i="1" s="1"/>
  <c r="K1942" i="1" a="1"/>
  <c r="K1942" i="1" s="1"/>
  <c r="F1953" i="1" a="1"/>
  <c r="F1953" i="1" s="1"/>
  <c r="K1945" i="1" a="1"/>
  <c r="K1945" i="1" s="1"/>
  <c r="J1947" i="1" a="1"/>
  <c r="J1947" i="1" s="1"/>
  <c r="F1951" i="1" a="1"/>
  <c r="F1951" i="1" s="1"/>
  <c r="F1943" i="1" a="1"/>
  <c r="F1943" i="1" s="1"/>
  <c r="K1952" i="1" a="1"/>
  <c r="K1952" i="1" s="1"/>
  <c r="J1952" i="1" a="1"/>
  <c r="J1952" i="1" s="1"/>
  <c r="J1951" i="1" a="1"/>
  <c r="J1951" i="1" s="1"/>
  <c r="H1950" i="1" a="1"/>
  <c r="H1950" i="1" s="1"/>
  <c r="H1942" i="1" a="1"/>
  <c r="H1942" i="1" s="1"/>
  <c r="H1952" i="1" a="1"/>
  <c r="H1952" i="1" s="1"/>
  <c r="G1952" i="1" a="1"/>
  <c r="G1952" i="1" s="1"/>
  <c r="I1948" i="1" a="1"/>
  <c r="I1948" i="1"/>
  <c r="F1950" i="1" a="1"/>
  <c r="F1950" i="1" s="1"/>
  <c r="F1944" i="1" a="1"/>
  <c r="F1944" i="1" s="1"/>
  <c r="F1948" i="1" a="1"/>
  <c r="F1948" i="1" s="1"/>
  <c r="I1951" i="1" a="1"/>
  <c r="I1951" i="1" s="1"/>
  <c r="G1948" i="1" a="1"/>
  <c r="G1948" i="1" s="1"/>
  <c r="K1946" i="1" a="1"/>
  <c r="K1946" i="1" s="1"/>
  <c r="F1952" i="1" a="1"/>
  <c r="F1952" i="1" s="1"/>
  <c r="K1951" i="1" a="1"/>
  <c r="K1951" i="1" s="1"/>
  <c r="H1944" i="1" a="1"/>
  <c r="H1944" i="1" s="1"/>
  <c r="G1944" i="1" a="1"/>
  <c r="G1944" i="1"/>
  <c r="H1951" i="1" a="1"/>
  <c r="H1951" i="1" s="1"/>
  <c r="G1942" i="1" a="1"/>
  <c r="G1942" i="1" s="1"/>
  <c r="F1945" i="1" a="1"/>
  <c r="F1945" i="1" s="1"/>
  <c r="I1947" i="1" a="1"/>
  <c r="I1947" i="1" s="1"/>
  <c r="J1950" i="1" a="1"/>
  <c r="J1950" i="1" s="1"/>
  <c r="K1948" i="1" a="1"/>
  <c r="K1948" i="1" s="1"/>
  <c r="K1947" i="1" a="1"/>
  <c r="K1947" i="1" s="1"/>
  <c r="H1946" i="1" a="1"/>
  <c r="H1946" i="1" s="1"/>
  <c r="J1945" i="1" a="1"/>
  <c r="J1945" i="1" s="1"/>
  <c r="H1945" i="1" a="1"/>
  <c r="H1945" i="1"/>
  <c r="J1943" i="1" a="1"/>
  <c r="J1943" i="1" s="1"/>
  <c r="I1942" i="1" a="1"/>
  <c r="I1942" i="1" s="1"/>
  <c r="I1946" i="1" a="1"/>
  <c r="I1946" i="1" s="1"/>
  <c r="F1947" i="1" a="1"/>
  <c r="F1947" i="1" s="1"/>
  <c r="G1945" i="1" a="1"/>
  <c r="G1945" i="1" s="1"/>
  <c r="H1943" i="1" a="1"/>
  <c r="H1943" i="1" s="1"/>
  <c r="J1942" i="1" a="1"/>
  <c r="J1942" i="1" s="1"/>
  <c r="K1944" i="1" a="1"/>
  <c r="K1944" i="1" s="1"/>
  <c r="J1946" i="1" a="1"/>
  <c r="J1946" i="1" s="1"/>
  <c r="J1944" i="1" a="1"/>
  <c r="J1944" i="1" s="1"/>
  <c r="K1950" i="1" a="1"/>
  <c r="K1950" i="1" s="1"/>
  <c r="F1946" i="1" a="1"/>
  <c r="F1946" i="1" s="1"/>
  <c r="G1943" i="1" a="1"/>
  <c r="G1943" i="1" s="1"/>
  <c r="J1948" i="1" a="1"/>
  <c r="J1948" i="1" s="1"/>
  <c r="G1951" i="1" a="1"/>
  <c r="G1951" i="1" s="1"/>
  <c r="G1946" i="1" a="1"/>
  <c r="G1946" i="1" s="1"/>
  <c r="I1944" i="1" a="1"/>
  <c r="I1944" i="1" s="1"/>
  <c r="I1943" i="1" a="1"/>
  <c r="I1943" i="1" s="1"/>
  <c r="I1952" i="1" a="1"/>
  <c r="I1952" i="1" s="1"/>
  <c r="I1950" i="1" a="1"/>
  <c r="I1950" i="1" s="1"/>
  <c r="I1945" i="1" a="1"/>
  <c r="I1945" i="1" s="1"/>
  <c r="K1939" i="1" a="1"/>
  <c r="K1939" i="1" s="1"/>
  <c r="I1934" i="1" a="1"/>
  <c r="I1934" i="1" s="1"/>
  <c r="H1939" i="1" a="1"/>
  <c r="H1939" i="1" s="1"/>
  <c r="J1934" i="1" a="1"/>
  <c r="J1934" i="1" s="1"/>
  <c r="K1931" i="1" a="1"/>
  <c r="K1931" i="1" s="1"/>
  <c r="F1938" i="1" a="1"/>
  <c r="F1938" i="1" s="1"/>
  <c r="I1933" i="1" a="1"/>
  <c r="I1933" i="1" s="1"/>
  <c r="J1933" i="1" a="1"/>
  <c r="J1933" i="1" s="1"/>
  <c r="I1931" i="1" a="1"/>
  <c r="I1931" i="1"/>
  <c r="H1937" i="1" a="1"/>
  <c r="H1937" i="1" s="1"/>
  <c r="J1936" i="1" a="1"/>
  <c r="J1936" i="1" s="1"/>
  <c r="J1941" i="1" a="1"/>
  <c r="J1941" i="1" s="1"/>
  <c r="G1940" i="1" a="1"/>
  <c r="G1940" i="1" s="1"/>
  <c r="F1935" i="1" a="1"/>
  <c r="F1935" i="1" s="1"/>
  <c r="H1932" i="1" a="1"/>
  <c r="H1932" i="1" s="1"/>
  <c r="I1939" i="1" a="1"/>
  <c r="I1939" i="1" s="1"/>
  <c r="H1938" i="1" a="1"/>
  <c r="H1938" i="1" s="1"/>
  <c r="J1938" i="1" a="1"/>
  <c r="J1938" i="1" s="1"/>
  <c r="H1935" i="1" a="1"/>
  <c r="H1935" i="1"/>
  <c r="G1934" i="1" a="1"/>
  <c r="G1934" i="1" s="1"/>
  <c r="H1933" i="1" a="1"/>
  <c r="H1933" i="1" s="1"/>
  <c r="G1936" i="1" a="1"/>
  <c r="G1936" i="1" s="1"/>
  <c r="F1942" i="1" a="1"/>
  <c r="F1942" i="1" s="1"/>
  <c r="K1940" i="1" a="1"/>
  <c r="K1940" i="1" s="1"/>
  <c r="H1940" i="1" a="1"/>
  <c r="H1940" i="1" s="1"/>
  <c r="J1939" i="1" a="1"/>
  <c r="J1939" i="1" s="1"/>
  <c r="G1937" i="1" a="1"/>
  <c r="G1937" i="1" s="1"/>
  <c r="F1932" i="1" a="1"/>
  <c r="F1932" i="1" s="1"/>
  <c r="F1939" i="1" a="1"/>
  <c r="F1939" i="1" s="1"/>
  <c r="K1934" i="1" a="1"/>
  <c r="K1934" i="1" s="1"/>
  <c r="H1934" i="1" a="1"/>
  <c r="H1934" i="1" s="1"/>
  <c r="I1940" i="1" a="1"/>
  <c r="I1940" i="1" s="1"/>
  <c r="I1932" i="1" a="1"/>
  <c r="I1932" i="1" s="1"/>
  <c r="I1941" i="1" a="1"/>
  <c r="I1941" i="1" s="1"/>
  <c r="H1941" i="1" a="1"/>
  <c r="H1941" i="1" s="1"/>
  <c r="J1931" i="1" a="1"/>
  <c r="J1931" i="1" s="1"/>
  <c r="J1937" i="1" a="1"/>
  <c r="J1937" i="1" s="1"/>
  <c r="F1933" i="1" a="1"/>
  <c r="F1933" i="1" s="1"/>
  <c r="J1932" i="1" a="1"/>
  <c r="J1932" i="1" s="1"/>
  <c r="G1941" i="1" a="1"/>
  <c r="G1941" i="1" s="1"/>
  <c r="F1941" i="1" a="1"/>
  <c r="F1941" i="1" s="1"/>
  <c r="K1938" i="1" a="1"/>
  <c r="K1938" i="1" s="1"/>
  <c r="I1936" i="1" a="1"/>
  <c r="I1936" i="1" s="1"/>
  <c r="F1940" i="1" a="1"/>
  <c r="F1940" i="1" s="1"/>
  <c r="G1939" i="1" a="1"/>
  <c r="G1939" i="1" s="1"/>
  <c r="K1932" i="1" a="1"/>
  <c r="K1932" i="1" s="1"/>
  <c r="I1935" i="1" a="1"/>
  <c r="I1935" i="1" s="1"/>
  <c r="H1936" i="1" a="1"/>
  <c r="H1936" i="1" s="1"/>
  <c r="I1937" i="1" a="1"/>
  <c r="I1937" i="1" s="1"/>
  <c r="K1936" i="1" a="1"/>
  <c r="K1936" i="1" s="1"/>
  <c r="G1935" i="1" a="1"/>
  <c r="G1935" i="1" s="1"/>
  <c r="F1934" i="1" a="1"/>
  <c r="F1934" i="1" s="1"/>
  <c r="G1938" i="1" a="1"/>
  <c r="G1938" i="1" s="1"/>
  <c r="F1936" i="1" a="1"/>
  <c r="F1936" i="1" s="1"/>
  <c r="K1937" i="1" a="1"/>
  <c r="K1937" i="1" s="1"/>
  <c r="K1935" i="1" a="1"/>
  <c r="K1935" i="1" s="1"/>
  <c r="G1933" i="1" a="1"/>
  <c r="G1933" i="1" s="1"/>
  <c r="G1932" i="1" a="1"/>
  <c r="G1932" i="1" s="1"/>
  <c r="I1938" i="1" a="1"/>
  <c r="I1938" i="1"/>
  <c r="J1935" i="1" a="1"/>
  <c r="J1935" i="1" s="1"/>
  <c r="F1937" i="1" a="1"/>
  <c r="F1937" i="1" s="1"/>
  <c r="K1933" i="1" a="1"/>
  <c r="K1933" i="1" s="1"/>
  <c r="K1941" i="1" a="1"/>
  <c r="K1941" i="1" s="1"/>
  <c r="J1940" i="1" a="1"/>
  <c r="J1940" i="1" s="1"/>
  <c r="F1927" i="1" a="1"/>
  <c r="F1927" i="1" s="1"/>
  <c r="I1925" i="1" a="1"/>
  <c r="I1925" i="1" s="1"/>
  <c r="K1924" i="1" a="1"/>
  <c r="K1924" i="1" s="1"/>
  <c r="K1922" i="1" a="1"/>
  <c r="K1922" i="1" s="1"/>
  <c r="F1921" i="1" a="1"/>
  <c r="F1921" i="1" s="1"/>
  <c r="H1924" i="1" a="1"/>
  <c r="H1924" i="1" s="1"/>
  <c r="H1931" i="1" a="1"/>
  <c r="H1931" i="1" s="1"/>
  <c r="G1931" i="1" a="1"/>
  <c r="G1931" i="1" s="1"/>
  <c r="J1923" i="1" a="1"/>
  <c r="J1923" i="1" s="1"/>
  <c r="J1922" i="1" a="1"/>
  <c r="J1922" i="1" s="1"/>
  <c r="F1931" i="1" a="1"/>
  <c r="F1931" i="1" s="1"/>
  <c r="K1928" i="1" a="1"/>
  <c r="K1928" i="1" s="1"/>
  <c r="H1928" i="1" a="1"/>
  <c r="H1928" i="1" s="1"/>
  <c r="F1924" i="1" a="1"/>
  <c r="F1924" i="1" s="1"/>
  <c r="K1927" i="1" a="1"/>
  <c r="K1927" i="1" s="1"/>
  <c r="J1927" i="1" a="1"/>
  <c r="J1927" i="1" s="1"/>
  <c r="I1926" i="1" a="1"/>
  <c r="I1926" i="1" s="1"/>
  <c r="H1922" i="1" a="1"/>
  <c r="H1922" i="1" s="1"/>
  <c r="J1925" i="1" a="1"/>
  <c r="J1925" i="1" s="1"/>
  <c r="K1930" i="1" a="1"/>
  <c r="K1930" i="1" s="1"/>
  <c r="F1930" i="1" a="1"/>
  <c r="F1930" i="1" s="1"/>
  <c r="J1930" i="1" a="1"/>
  <c r="J1930" i="1" s="1"/>
  <c r="I1923" i="1" a="1"/>
  <c r="I1923" i="1" s="1"/>
  <c r="H1923" i="1" a="1"/>
  <c r="H1923" i="1" s="1"/>
  <c r="I1930" i="1" a="1"/>
  <c r="I1930" i="1" s="1"/>
  <c r="H1930" i="1" a="1"/>
  <c r="H1930" i="1" s="1"/>
  <c r="G1930" i="1" a="1"/>
  <c r="G1930" i="1" s="1"/>
  <c r="K1929" i="1" a="1"/>
  <c r="K1929" i="1" s="1"/>
  <c r="F1926" i="1" a="1"/>
  <c r="F1926" i="1" s="1"/>
  <c r="I1928" i="1" a="1"/>
  <c r="I1928" i="1" s="1"/>
  <c r="J1929" i="1" a="1"/>
  <c r="J1929" i="1" s="1"/>
  <c r="I1929" i="1" a="1"/>
  <c r="I1929" i="1" s="1"/>
  <c r="G1921" i="1" a="1"/>
  <c r="G1921" i="1" s="1"/>
  <c r="G1926" i="1" a="1"/>
  <c r="G1926" i="1" s="1"/>
  <c r="H1929" i="1" a="1"/>
  <c r="H1929" i="1" s="1"/>
  <c r="F1928" i="1" a="1"/>
  <c r="F1928" i="1" s="1"/>
  <c r="H1927" i="1" a="1"/>
  <c r="H1927" i="1" s="1"/>
  <c r="K1925" i="1" a="1"/>
  <c r="K1925" i="1" s="1"/>
  <c r="F1922" i="1" a="1"/>
  <c r="F1922" i="1" s="1"/>
  <c r="K1923" i="1" a="1"/>
  <c r="K1923" i="1" s="1"/>
  <c r="J1921" i="1" a="1"/>
  <c r="J1921" i="1" s="1"/>
  <c r="G1927" i="1" a="1"/>
  <c r="G1927" i="1" s="1"/>
  <c r="G1929" i="1" a="1"/>
  <c r="G1929" i="1" s="1"/>
  <c r="I1924" i="1" a="1"/>
  <c r="I1924" i="1" s="1"/>
  <c r="F1929" i="1" a="1"/>
  <c r="F1929" i="1"/>
  <c r="F1923" i="1" a="1"/>
  <c r="F1923" i="1" s="1"/>
  <c r="G1922" i="1" a="1"/>
  <c r="G1922" i="1" s="1"/>
  <c r="J1928" i="1" a="1"/>
  <c r="J1928" i="1" s="1"/>
  <c r="H1926" i="1" a="1"/>
  <c r="H1926" i="1" s="1"/>
  <c r="G1928" i="1" a="1"/>
  <c r="G1928" i="1" s="1"/>
  <c r="I1927" i="1" a="1"/>
  <c r="I1927" i="1" s="1"/>
  <c r="K1926" i="1" a="1"/>
  <c r="K1926" i="1" s="1"/>
  <c r="H1921" i="1" a="1"/>
  <c r="H1921" i="1" s="1"/>
  <c r="J1926" i="1" a="1"/>
  <c r="J1926" i="1" s="1"/>
  <c r="H1925" i="1" a="1"/>
  <c r="H1925" i="1" s="1"/>
  <c r="G1925" i="1" a="1"/>
  <c r="G1925" i="1" s="1"/>
  <c r="G1924" i="1" a="1"/>
  <c r="G1924" i="1" s="1"/>
  <c r="I1922" i="1" a="1"/>
  <c r="I1922" i="1" s="1"/>
  <c r="G1923" i="1" a="1"/>
  <c r="G1923" i="1" s="1"/>
  <c r="K1920" i="1" a="1"/>
  <c r="K1920" i="1" s="1"/>
  <c r="F1925" i="1" a="1"/>
  <c r="F1925" i="1" s="1"/>
  <c r="J1924" i="1" a="1"/>
  <c r="J1924" i="1" s="1"/>
  <c r="K1921" i="1" a="1"/>
  <c r="K1921" i="1" s="1"/>
  <c r="I1921" i="1" a="1"/>
  <c r="I1921" i="1" s="1"/>
  <c r="K1912" i="1" a="1"/>
  <c r="K1912" i="1" s="1"/>
  <c r="K1913" i="1" a="1"/>
  <c r="K1913" i="1" s="1"/>
  <c r="F1911" i="1" a="1"/>
  <c r="F1911" i="1" s="1"/>
  <c r="K1910" i="1" a="1"/>
  <c r="K1910" i="1" s="1"/>
  <c r="K1915" i="1" a="1"/>
  <c r="K1915" i="1" s="1"/>
  <c r="H1912" i="1" a="1"/>
  <c r="H1912" i="1" s="1"/>
  <c r="J1910" i="1" a="1"/>
  <c r="J1910" i="1" s="1"/>
  <c r="K1916" i="1" a="1"/>
  <c r="K1916" i="1" s="1"/>
  <c r="G1911" i="1" a="1"/>
  <c r="G1911" i="1" s="1"/>
  <c r="K1914" i="1" a="1"/>
  <c r="K1914" i="1" s="1"/>
  <c r="G1914" i="1" a="1"/>
  <c r="G1914" i="1" s="1"/>
  <c r="I1911" i="1" a="1"/>
  <c r="I1911" i="1" s="1"/>
  <c r="H1911" i="1" a="1"/>
  <c r="H1911" i="1" s="1"/>
  <c r="I1917" i="1" a="1"/>
  <c r="I1917" i="1" s="1"/>
  <c r="J1913" i="1" a="1"/>
  <c r="J1913" i="1" s="1"/>
  <c r="J1912" i="1" a="1"/>
  <c r="J1912" i="1" s="1"/>
  <c r="F1920" i="1" a="1"/>
  <c r="F1920" i="1" s="1"/>
  <c r="F1919" i="1" a="1"/>
  <c r="F1919" i="1" s="1"/>
  <c r="G1917" i="1" a="1"/>
  <c r="G1917" i="1" s="1"/>
  <c r="J1919" i="1" a="1"/>
  <c r="J1919" i="1" s="1"/>
  <c r="H1915" i="1" a="1"/>
  <c r="H1915" i="1" s="1"/>
  <c r="I1919" i="1" a="1"/>
  <c r="I1919" i="1" s="1"/>
  <c r="G1919" i="1" a="1"/>
  <c r="G1919" i="1" s="1"/>
  <c r="K1918" i="1" a="1"/>
  <c r="K1918" i="1" s="1"/>
  <c r="K1911" i="1" a="1"/>
  <c r="K1911" i="1" s="1"/>
  <c r="F1915" i="1" a="1"/>
  <c r="F1915" i="1" s="1"/>
  <c r="I1916" i="1" a="1"/>
  <c r="I1916" i="1" s="1"/>
  <c r="I1918" i="1" a="1"/>
  <c r="I1918" i="1" s="1"/>
  <c r="G1918" i="1" a="1"/>
  <c r="G1918" i="1" s="1"/>
  <c r="H1914" i="1" a="1"/>
  <c r="H1914" i="1" s="1"/>
  <c r="I1914" i="1" a="1"/>
  <c r="I1914" i="1"/>
  <c r="K1917" i="1" a="1"/>
  <c r="K1917" i="1" s="1"/>
  <c r="I1913" i="1" a="1"/>
  <c r="I1913" i="1" s="1"/>
  <c r="G1910" i="1" a="1"/>
  <c r="G1910" i="1" s="1"/>
  <c r="G1913" i="1" a="1"/>
  <c r="G1913" i="1" s="1"/>
  <c r="J1911" i="1" a="1"/>
  <c r="J1911" i="1" s="1"/>
  <c r="J1916" i="1" a="1"/>
  <c r="J1916" i="1" s="1"/>
  <c r="I1912" i="1" a="1"/>
  <c r="I1912" i="1" s="1"/>
  <c r="H1916" i="1" a="1"/>
  <c r="H1916" i="1" s="1"/>
  <c r="I1915" i="1" a="1"/>
  <c r="I1915" i="1" s="1"/>
  <c r="H1919" i="1" a="1"/>
  <c r="H1919" i="1"/>
  <c r="J1918" i="1" a="1"/>
  <c r="J1918" i="1" s="1"/>
  <c r="G1916" i="1" a="1"/>
  <c r="G1916" i="1" s="1"/>
  <c r="I1910" i="1" a="1"/>
  <c r="I1910" i="1" s="1"/>
  <c r="F1913" i="1" a="1"/>
  <c r="F1913" i="1" s="1"/>
  <c r="I1920" i="1" a="1"/>
  <c r="I1920" i="1" s="1"/>
  <c r="F1916" i="1" a="1"/>
  <c r="F1916" i="1" s="1"/>
  <c r="F1912" i="1" a="1"/>
  <c r="F1912" i="1" s="1"/>
  <c r="J1920" i="1" a="1"/>
  <c r="J1920" i="1" s="1"/>
  <c r="F1918" i="1" a="1"/>
  <c r="F1918" i="1" s="1"/>
  <c r="H1920" i="1" a="1"/>
  <c r="H1920" i="1"/>
  <c r="G1920" i="1" a="1"/>
  <c r="G1920" i="1" s="1"/>
  <c r="F1917" i="1" a="1"/>
  <c r="F1917" i="1" s="1"/>
  <c r="J1914" i="1" a="1"/>
  <c r="J1914" i="1" s="1"/>
  <c r="F1914" i="1" a="1"/>
  <c r="F1914" i="1" s="1"/>
  <c r="G1912" i="1" a="1"/>
  <c r="G1912" i="1" s="1"/>
  <c r="H1910" i="1" a="1"/>
  <c r="H1910" i="1" s="1"/>
  <c r="K1919" i="1" a="1"/>
  <c r="K1919" i="1" s="1"/>
  <c r="H1918" i="1" a="1"/>
  <c r="H1918" i="1" s="1"/>
  <c r="J1917" i="1" a="1"/>
  <c r="J1917" i="1" s="1"/>
  <c r="H1917" i="1" a="1"/>
  <c r="H1917" i="1"/>
  <c r="J1915" i="1" a="1"/>
  <c r="J1915" i="1" s="1"/>
  <c r="G1915" i="1" a="1"/>
  <c r="G1915" i="1" s="1"/>
  <c r="H1913" i="1" a="1"/>
  <c r="H1913" i="1" s="1"/>
  <c r="J1909" i="1" a="1"/>
  <c r="J1909" i="1" s="1"/>
  <c r="I1909" i="1" a="1"/>
  <c r="I1909" i="1" s="1"/>
  <c r="J1903" i="1" a="1"/>
  <c r="J1903" i="1" s="1"/>
  <c r="K1901" i="1" a="1"/>
  <c r="K1901" i="1" s="1"/>
  <c r="I1900" i="1" a="1"/>
  <c r="I1900" i="1" s="1"/>
  <c r="G1909" i="1" a="1"/>
  <c r="G1909" i="1" s="1"/>
  <c r="F1909" i="1" a="1"/>
  <c r="F1909" i="1" s="1"/>
  <c r="J1905" i="1" a="1"/>
  <c r="J1905" i="1" s="1"/>
  <c r="K1903" i="1" a="1"/>
  <c r="K1903" i="1" s="1"/>
  <c r="I1902" i="1" a="1"/>
  <c r="I1902" i="1" s="1"/>
  <c r="K1907" i="1" a="1"/>
  <c r="K1907" i="1" s="1"/>
  <c r="F1906" i="1" a="1"/>
  <c r="F1906" i="1" s="1"/>
  <c r="K1900" i="1" a="1"/>
  <c r="K1900" i="1" s="1"/>
  <c r="I1908" i="1" a="1"/>
  <c r="I1908" i="1" s="1"/>
  <c r="K1908" i="1" a="1"/>
  <c r="K1908" i="1" s="1"/>
  <c r="J1904" i="1" a="1"/>
  <c r="J1904" i="1" s="1"/>
  <c r="H1908" i="1" a="1"/>
  <c r="H1908" i="1"/>
  <c r="G1908" i="1" a="1"/>
  <c r="G1908" i="1" s="1"/>
  <c r="F1908" i="1" a="1"/>
  <c r="F1908" i="1" s="1"/>
  <c r="H1907" i="1" a="1"/>
  <c r="H1907" i="1" s="1"/>
  <c r="F1907" i="1" a="1"/>
  <c r="F1907" i="1" s="1"/>
  <c r="J1906" i="1" a="1"/>
  <c r="J1906" i="1" s="1"/>
  <c r="H1905" i="1" a="1"/>
  <c r="H1905" i="1" s="1"/>
  <c r="J1902" i="1" a="1"/>
  <c r="J1902" i="1" s="1"/>
  <c r="F1900" i="1" a="1"/>
  <c r="F1900" i="1" s="1"/>
  <c r="H1902" i="1" a="1"/>
  <c r="H1902" i="1" s="1"/>
  <c r="J1901" i="1" a="1"/>
  <c r="J1901" i="1"/>
  <c r="I1903" i="1" a="1"/>
  <c r="I1903" i="1" s="1"/>
  <c r="H1904" i="1" a="1"/>
  <c r="H1904" i="1" s="1"/>
  <c r="G1901" i="1" a="1"/>
  <c r="G1901" i="1" s="1"/>
  <c r="K1904" i="1" a="1"/>
  <c r="K1904" i="1" s="1"/>
  <c r="G1904" i="1" a="1"/>
  <c r="G1904" i="1" s="1"/>
  <c r="F1903" i="1" a="1"/>
  <c r="F1903" i="1" s="1"/>
  <c r="J1899" i="1" a="1"/>
  <c r="J1899" i="1" s="1"/>
  <c r="F1901" i="1" a="1"/>
  <c r="F1901" i="1" s="1"/>
  <c r="H1909" i="1" a="1"/>
  <c r="H1909" i="1" s="1"/>
  <c r="J1908" i="1" a="1"/>
  <c r="J1908" i="1" s="1"/>
  <c r="G1906" i="1" a="1"/>
  <c r="G1906" i="1" s="1"/>
  <c r="F1905" i="1" a="1"/>
  <c r="F1905" i="1" s="1"/>
  <c r="J1900" i="1" a="1"/>
  <c r="J1900" i="1" s="1"/>
  <c r="I1906" i="1" a="1"/>
  <c r="I1906" i="1" s="1"/>
  <c r="H1903" i="1" a="1"/>
  <c r="H1903" i="1" s="1"/>
  <c r="K1899" i="1" a="1"/>
  <c r="K1899" i="1" s="1"/>
  <c r="G1903" i="1" a="1"/>
  <c r="G1903" i="1" s="1"/>
  <c r="G1902" i="1" a="1"/>
  <c r="G1902" i="1" s="1"/>
  <c r="J1907" i="1" a="1"/>
  <c r="J1907" i="1" s="1"/>
  <c r="F1904" i="1" a="1"/>
  <c r="F1904" i="1" s="1"/>
  <c r="K1902" i="1" a="1"/>
  <c r="K1902" i="1" s="1"/>
  <c r="G1907" i="1" a="1"/>
  <c r="G1907" i="1" s="1"/>
  <c r="F1902" i="1" a="1"/>
  <c r="F1902" i="1" s="1"/>
  <c r="I1907" i="1" a="1"/>
  <c r="I1907" i="1" s="1"/>
  <c r="H1906" i="1" a="1"/>
  <c r="H1906" i="1" s="1"/>
  <c r="I1904" i="1" a="1"/>
  <c r="I1904" i="1" s="1"/>
  <c r="I1901" i="1" a="1"/>
  <c r="I1901" i="1" s="1"/>
  <c r="I1905" i="1" a="1"/>
  <c r="I1905" i="1" s="1"/>
  <c r="G1905" i="1" a="1"/>
  <c r="G1905" i="1" s="1"/>
  <c r="H1901" i="1" a="1"/>
  <c r="H1901" i="1" s="1"/>
  <c r="G1900" i="1" a="1"/>
  <c r="G1900" i="1" s="1"/>
  <c r="F1910" i="1" a="1"/>
  <c r="F1910" i="1" s="1"/>
  <c r="K1909" i="1" a="1"/>
  <c r="K1909" i="1" s="1"/>
  <c r="K1906" i="1" a="1"/>
  <c r="K1906" i="1" s="1"/>
  <c r="H1900" i="1" a="1"/>
  <c r="H1900" i="1" s="1"/>
  <c r="K1905" i="1" a="1"/>
  <c r="K1905" i="1" s="1"/>
  <c r="I1899" i="1" a="1"/>
  <c r="I1899" i="1" s="1"/>
  <c r="H1899" i="1" a="1"/>
  <c r="H1899" i="1" s="1"/>
  <c r="G1899" i="1" a="1"/>
  <c r="G1899" i="1" s="1"/>
  <c r="F1899" i="1" a="1"/>
  <c r="F1899" i="1"/>
  <c r="K1670" i="1" a="1"/>
  <c r="K1670" i="1" s="1"/>
  <c r="F1671" i="1" a="1"/>
  <c r="F1671" i="1" s="1"/>
  <c r="K1671" i="1" a="1"/>
  <c r="K1671" i="1" s="1"/>
  <c r="H1671" i="1" a="1"/>
  <c r="H1671" i="1" s="1"/>
  <c r="J1671" i="1" a="1"/>
  <c r="J1671" i="1" s="1"/>
  <c r="I1670" i="1" a="1"/>
  <c r="I1670" i="1" s="1"/>
  <c r="J1670" i="1" a="1"/>
  <c r="J1670" i="1" s="1"/>
  <c r="H1670" i="1" a="1"/>
  <c r="H1670" i="1" s="1"/>
  <c r="G1670" i="1" a="1"/>
  <c r="G1670" i="1" s="1"/>
  <c r="I1671" i="1" a="1"/>
  <c r="I1671" i="1" s="1"/>
  <c r="F1670" i="1" a="1"/>
  <c r="F1670" i="1" s="1"/>
  <c r="G1671" i="1" a="1"/>
  <c r="G1671" i="1" s="1"/>
  <c r="J1666" i="1" a="1"/>
  <c r="J1666" i="1" s="1"/>
  <c r="F1660" i="1" a="1"/>
  <c r="F1660" i="1" s="1"/>
  <c r="F1663" i="1" a="1"/>
  <c r="F1663" i="1" s="1"/>
  <c r="F1669" i="1" a="1"/>
  <c r="F1669" i="1" s="1"/>
  <c r="I1663" i="1" a="1"/>
  <c r="I1663" i="1" s="1"/>
  <c r="J1662" i="1" a="1"/>
  <c r="J1662" i="1" s="1"/>
  <c r="I1662" i="1" a="1"/>
  <c r="I1662" i="1" s="1"/>
  <c r="K1659" i="1" a="1"/>
  <c r="K1659" i="1" s="1"/>
  <c r="G1660" i="1" a="1"/>
  <c r="G1660" i="1" s="1"/>
  <c r="I1666" i="1" a="1"/>
  <c r="I1666" i="1" s="1"/>
  <c r="H1666" i="1" a="1"/>
  <c r="H1666" i="1" s="1"/>
  <c r="H1664" i="1" a="1"/>
  <c r="H1664" i="1" s="1"/>
  <c r="G1666" i="1" a="1"/>
  <c r="G1666" i="1" s="1"/>
  <c r="J1663" i="1" a="1"/>
  <c r="J1663" i="1" s="1"/>
  <c r="F1662" i="1" a="1"/>
  <c r="F1662" i="1" s="1"/>
  <c r="J1659" i="1" a="1"/>
  <c r="J1659" i="1" s="1"/>
  <c r="F1659" i="1" a="1"/>
  <c r="F1659" i="1" s="1"/>
  <c r="J1669" i="1" a="1"/>
  <c r="J1669" i="1"/>
  <c r="F1665" i="1" a="1"/>
  <c r="F1665" i="1" s="1"/>
  <c r="G1665" i="1" a="1"/>
  <c r="G1665" i="1" s="1"/>
  <c r="I1669" i="1" a="1"/>
  <c r="I1669" i="1" s="1"/>
  <c r="H1669" i="1" a="1"/>
  <c r="H1669" i="1" s="1"/>
  <c r="K1668" i="1" a="1"/>
  <c r="K1668" i="1" s="1"/>
  <c r="H1668" i="1" a="1"/>
  <c r="H1668" i="1" s="1"/>
  <c r="J1668" i="1" a="1"/>
  <c r="J1668" i="1" s="1"/>
  <c r="F1668" i="1" a="1"/>
  <c r="F1668" i="1" s="1"/>
  <c r="J1667" i="1" a="1"/>
  <c r="J1667" i="1" s="1"/>
  <c r="J1660" i="1" a="1"/>
  <c r="J1660" i="1"/>
  <c r="H1663" i="1" a="1"/>
  <c r="H1663" i="1" s="1"/>
  <c r="K1662" i="1" a="1"/>
  <c r="K1662" i="1" s="1"/>
  <c r="H1662" i="1" a="1"/>
  <c r="H1662" i="1" s="1"/>
  <c r="I1660" i="1" a="1"/>
  <c r="I1660" i="1" s="1"/>
  <c r="G1659" i="1" a="1"/>
  <c r="G1659" i="1" s="1"/>
  <c r="I1667" i="1" a="1"/>
  <c r="I1667" i="1" s="1"/>
  <c r="K1666" i="1" a="1"/>
  <c r="K1666" i="1" s="1"/>
  <c r="J1664" i="1" a="1"/>
  <c r="J1664" i="1" s="1"/>
  <c r="F1666" i="1" a="1"/>
  <c r="F1666" i="1" s="1"/>
  <c r="J1665" i="1" a="1"/>
  <c r="J1665" i="1"/>
  <c r="I1665" i="1" a="1"/>
  <c r="I1665" i="1" s="1"/>
  <c r="G1664" i="1" a="1"/>
  <c r="G1664" i="1" s="1"/>
  <c r="K1663" i="1" a="1"/>
  <c r="K1663" i="1" s="1"/>
  <c r="G1662" i="1" a="1"/>
  <c r="G1662" i="1" s="1"/>
  <c r="H1667" i="1" a="1"/>
  <c r="H1667" i="1" s="1"/>
  <c r="F1667" i="1" a="1"/>
  <c r="F1667" i="1" s="1"/>
  <c r="H1660" i="1" a="1"/>
  <c r="H1660" i="1" s="1"/>
  <c r="K1660" i="1" a="1"/>
  <c r="K1660" i="1" s="1"/>
  <c r="H1659" i="1" a="1"/>
  <c r="H1659" i="1" s="1"/>
  <c r="K1664" i="1" a="1"/>
  <c r="K1664" i="1" s="1"/>
  <c r="G1663" i="1" a="1"/>
  <c r="G1663" i="1" s="1"/>
  <c r="F1664" i="1" a="1"/>
  <c r="F1664" i="1" s="1"/>
  <c r="H1665" i="1" a="1"/>
  <c r="H1665" i="1" s="1"/>
  <c r="K1669" i="1" a="1"/>
  <c r="K1669" i="1" s="1"/>
  <c r="K1667" i="1" a="1"/>
  <c r="K1667" i="1" s="1"/>
  <c r="G1667" i="1" a="1"/>
  <c r="G1667" i="1" s="1"/>
  <c r="K1665" i="1" a="1"/>
  <c r="K1665" i="1" s="1"/>
  <c r="I1659" i="1" a="1"/>
  <c r="I1659" i="1" s="1"/>
  <c r="G1669" i="1" a="1"/>
  <c r="G1669" i="1" s="1"/>
  <c r="I1668" i="1" a="1"/>
  <c r="I1668" i="1"/>
  <c r="I1664" i="1" a="1"/>
  <c r="I1664" i="1" s="1"/>
  <c r="K1658" i="1" a="1"/>
  <c r="K1658" i="1" s="1"/>
  <c r="J1658" i="1" a="1"/>
  <c r="J1658" i="1" s="1"/>
  <c r="G1668" i="1" a="1"/>
  <c r="G1668" i="1" s="1"/>
  <c r="G1641" i="1" a="1"/>
  <c r="G1641" i="1" s="1"/>
  <c r="G1642" i="1" a="1"/>
  <c r="G1642" i="1" s="1"/>
  <c r="I1640" i="1" a="1"/>
  <c r="I1640" i="1" s="1"/>
  <c r="H1641" i="1" a="1"/>
  <c r="H1641" i="1" s="1"/>
  <c r="J1652" i="1" a="1"/>
  <c r="J1652" i="1" s="1"/>
  <c r="F1644" i="1" a="1"/>
  <c r="F1644" i="1" s="1"/>
  <c r="K1646" i="1" a="1"/>
  <c r="K1646" i="1" s="1"/>
  <c r="K1640" i="1" a="1"/>
  <c r="K1640" i="1" s="1"/>
  <c r="K1652" i="1" a="1"/>
  <c r="K1652" i="1" s="1"/>
  <c r="F1645" i="1" a="1"/>
  <c r="F1645" i="1" s="1"/>
  <c r="I1642" i="1" a="1"/>
  <c r="I1642" i="1" s="1"/>
  <c r="K1644" i="1" a="1"/>
  <c r="K1644" i="1" s="1"/>
  <c r="G1646" i="1" a="1"/>
  <c r="G1646" i="1" s="1"/>
  <c r="F1642" i="1" a="1"/>
  <c r="F1642" i="1" s="1"/>
  <c r="J1641" i="1" a="1"/>
  <c r="J1641" i="1" s="1"/>
  <c r="K1645" i="1" a="1"/>
  <c r="K1645" i="1"/>
  <c r="J1640" i="1" a="1"/>
  <c r="J1640" i="1" s="1"/>
  <c r="H1652" i="1" a="1"/>
  <c r="H1652" i="1" s="1"/>
  <c r="I1658" i="1" a="1"/>
  <c r="I1658" i="1" s="1"/>
  <c r="G1644" i="1" a="1"/>
  <c r="G1644" i="1" s="1"/>
  <c r="G1652" i="1" a="1"/>
  <c r="G1652" i="1"/>
  <c r="F1652" i="1" a="1"/>
  <c r="F1652" i="1" s="1"/>
  <c r="H1645" i="1" a="1"/>
  <c r="H1645" i="1" s="1"/>
  <c r="I1641" i="1" a="1"/>
  <c r="I1641" i="1" s="1"/>
  <c r="H1658" i="1" a="1"/>
  <c r="H1658" i="1" s="1"/>
  <c r="G1658" i="1" a="1"/>
  <c r="G1658" i="1"/>
  <c r="J1642" i="1" a="1"/>
  <c r="J1642" i="1" s="1"/>
  <c r="F1658" i="1" a="1"/>
  <c r="F1658" i="1" s="1"/>
  <c r="H1646" i="1" a="1"/>
  <c r="H1646" i="1" s="1"/>
  <c r="I1646" i="1" a="1"/>
  <c r="I1646" i="1" s="1"/>
  <c r="G1645" i="1" a="1"/>
  <c r="G1645" i="1"/>
  <c r="F1641" i="1" a="1"/>
  <c r="F1641" i="1" s="1"/>
  <c r="J1645" i="1" a="1"/>
  <c r="J1645" i="1" s="1"/>
  <c r="I1652" i="1" a="1"/>
  <c r="I1652" i="1" s="1"/>
  <c r="J1646" i="1" a="1"/>
  <c r="J1646" i="1" s="1"/>
  <c r="H1642" i="1" a="1"/>
  <c r="H1642" i="1"/>
  <c r="I1645" i="1" a="1"/>
  <c r="I1645" i="1" s="1"/>
  <c r="J1644" i="1" a="1"/>
  <c r="J1644" i="1" s="1"/>
  <c r="I1644" i="1" a="1"/>
  <c r="I1644" i="1" s="1"/>
  <c r="F1646" i="1" a="1"/>
  <c r="F1646" i="1" s="1"/>
  <c r="H1644" i="1" a="1"/>
  <c r="H1644" i="1"/>
  <c r="K1641" i="1" a="1"/>
  <c r="K1641" i="1" s="1"/>
  <c r="K1642" i="1" a="1"/>
  <c r="K1642" i="1" s="1"/>
  <c r="I1620" i="1" a="1"/>
  <c r="I1620" i="1" s="1"/>
  <c r="J1626" i="1" a="1"/>
  <c r="J1626" i="1"/>
  <c r="G1624" i="1" a="1"/>
  <c r="G1624" i="1"/>
  <c r="H1622" i="1" a="1"/>
  <c r="H1622" i="1" s="1"/>
  <c r="F1621" i="1" a="1"/>
  <c r="F1621" i="1" s="1"/>
  <c r="F1626" i="1" a="1"/>
  <c r="F1626" i="1"/>
  <c r="I1626" i="1" a="1"/>
  <c r="I1626" i="1" s="1"/>
  <c r="J1625" i="1" a="1"/>
  <c r="J1625" i="1" s="1"/>
  <c r="G1622" i="1" a="1"/>
  <c r="G1622" i="1" s="1"/>
  <c r="G1627" i="1" a="1"/>
  <c r="G1627" i="1" s="1"/>
  <c r="H1620" i="1" a="1"/>
  <c r="H1620" i="1" s="1"/>
  <c r="G1625" i="1" a="1"/>
  <c r="G1625" i="1"/>
  <c r="K1627" i="1" a="1"/>
  <c r="K1627" i="1" s="1"/>
  <c r="K1620" i="1" a="1"/>
  <c r="K1620" i="1" s="1"/>
  <c r="K1621" i="1" a="1"/>
  <c r="K1621" i="1" s="1"/>
  <c r="G1621" i="1" a="1"/>
  <c r="G1621" i="1" s="1"/>
  <c r="H1621" i="1" a="1"/>
  <c r="H1621" i="1"/>
  <c r="J1622" i="1" a="1"/>
  <c r="J1622" i="1"/>
  <c r="J1623" i="1" a="1"/>
  <c r="J1623" i="1"/>
  <c r="F1624" i="1" a="1"/>
  <c r="F1624" i="1"/>
  <c r="I1622" i="1" a="1"/>
  <c r="I1622" i="1"/>
  <c r="K1622" i="1" a="1"/>
  <c r="K1622" i="1"/>
  <c r="H1625" i="1" a="1"/>
  <c r="H1625" i="1" s="1"/>
  <c r="K1623" i="1" a="1"/>
  <c r="K1623" i="1"/>
  <c r="J1621" i="1" a="1"/>
  <c r="J1621" i="1"/>
  <c r="I1621" i="1" a="1"/>
  <c r="I1621" i="1" s="1"/>
  <c r="J1627" i="1" a="1"/>
  <c r="J1627" i="1"/>
  <c r="F1627" i="1" a="1"/>
  <c r="F1627" i="1" s="1"/>
  <c r="F1622" i="1" a="1"/>
  <c r="F1622" i="1" s="1"/>
  <c r="F1625" i="1" a="1"/>
  <c r="F1625" i="1" s="1"/>
  <c r="F1623" i="1" a="1"/>
  <c r="F1623" i="1" s="1"/>
  <c r="K1624" i="1" a="1"/>
  <c r="K1624" i="1" s="1"/>
  <c r="H1623" i="1" a="1"/>
  <c r="H1623" i="1"/>
  <c r="I1624" i="1" a="1"/>
  <c r="I1624" i="1" s="1"/>
  <c r="I1623" i="1" a="1"/>
  <c r="I1623" i="1" s="1"/>
  <c r="H1624" i="1" a="1"/>
  <c r="H1624" i="1" s="1"/>
  <c r="G1623" i="1" a="1"/>
  <c r="G1623" i="1"/>
  <c r="H1626" i="1" a="1"/>
  <c r="H1626" i="1"/>
  <c r="H1640" i="1" a="1"/>
  <c r="H1640" i="1"/>
  <c r="I1625" i="1" a="1"/>
  <c r="I1625" i="1"/>
  <c r="G1626" i="1" a="1"/>
  <c r="G1626" i="1"/>
  <c r="G1640" i="1" a="1"/>
  <c r="G1640" i="1"/>
  <c r="F1640" i="1" a="1"/>
  <c r="F1640" i="1"/>
  <c r="I1627" i="1" a="1"/>
  <c r="I1627" i="1" s="1"/>
  <c r="K1626" i="1" a="1"/>
  <c r="K1626" i="1"/>
  <c r="H1627" i="1" a="1"/>
  <c r="H1627" i="1" s="1"/>
  <c r="K1625" i="1" a="1"/>
  <c r="K1625" i="1" s="1"/>
  <c r="J1624" i="1" a="1"/>
  <c r="J1624" i="1"/>
  <c r="J1620" i="1" a="1"/>
  <c r="J1620" i="1" s="1"/>
  <c r="I1609" i="1" a="1"/>
  <c r="I1609" i="1" s="1"/>
  <c r="K1603" i="1" a="1"/>
  <c r="K1603" i="1" s="1"/>
  <c r="H1603" i="1" a="1"/>
  <c r="H1603" i="1" s="1"/>
  <c r="J1609" i="1" a="1"/>
  <c r="J1609" i="1" s="1"/>
  <c r="K1610" i="1" a="1"/>
  <c r="K1610" i="1"/>
  <c r="G1620" i="1" a="1"/>
  <c r="G1620" i="1" s="1"/>
  <c r="F1620" i="1" a="1"/>
  <c r="F1620" i="1" s="1"/>
  <c r="F1603" i="1" a="1"/>
  <c r="F1603" i="1"/>
  <c r="I1619" i="1" a="1"/>
  <c r="I1619" i="1"/>
  <c r="H1619" i="1" a="1"/>
  <c r="H1619" i="1"/>
  <c r="H1617" i="1" a="1"/>
  <c r="H1617" i="1"/>
  <c r="G1610" i="1" a="1"/>
  <c r="G1610" i="1"/>
  <c r="G1603" i="1" a="1"/>
  <c r="G1603" i="1"/>
  <c r="G1611" i="1" a="1"/>
  <c r="G1611" i="1"/>
  <c r="K1611" i="1" a="1"/>
  <c r="K1611" i="1"/>
  <c r="H1611" i="1" a="1"/>
  <c r="H1611" i="1" s="1"/>
  <c r="J1602" i="1" a="1"/>
  <c r="J1602" i="1" s="1"/>
  <c r="J1611" i="1" a="1"/>
  <c r="J1611" i="1" s="1"/>
  <c r="K1619" i="1" a="1"/>
  <c r="K1619" i="1" s="1"/>
  <c r="J1619" i="1" a="1"/>
  <c r="J1619" i="1"/>
  <c r="G1619" i="1" a="1"/>
  <c r="G1619" i="1" s="1"/>
  <c r="K1617" i="1" a="1"/>
  <c r="K1617" i="1" s="1"/>
  <c r="F1619" i="1" a="1"/>
  <c r="F1619" i="1" s="1"/>
  <c r="J1617" i="1" a="1"/>
  <c r="J1617" i="1" s="1"/>
  <c r="I1617" i="1" a="1"/>
  <c r="I1617" i="1" s="1"/>
  <c r="H1610" i="1" a="1"/>
  <c r="H1610" i="1"/>
  <c r="I1603" i="1" a="1"/>
  <c r="I1603" i="1" s="1"/>
  <c r="G1617" i="1" a="1"/>
  <c r="G1617" i="1"/>
  <c r="K1602" i="1" a="1"/>
  <c r="K1602" i="1"/>
  <c r="F1611" i="1" a="1"/>
  <c r="F1611" i="1"/>
  <c r="H1609" i="1" a="1"/>
  <c r="H1609" i="1"/>
  <c r="I1610" i="1" a="1"/>
  <c r="I1610" i="1"/>
  <c r="K1609" i="1" a="1"/>
  <c r="K1609" i="1"/>
  <c r="J1610" i="1" a="1"/>
  <c r="J1610" i="1"/>
  <c r="G1609" i="1" a="1"/>
  <c r="G1609" i="1"/>
  <c r="I1602" i="1" a="1"/>
  <c r="I1602" i="1"/>
  <c r="F1610" i="1" a="1"/>
  <c r="F1610" i="1" s="1"/>
  <c r="I1611" i="1" a="1"/>
  <c r="I1611" i="1" s="1"/>
  <c r="F1617" i="1" a="1"/>
  <c r="F1617" i="1" s="1"/>
  <c r="J1603" i="1" a="1"/>
  <c r="J1603" i="1" s="1"/>
  <c r="F1609" i="1" a="1"/>
  <c r="F1609" i="1"/>
  <c r="G1593" i="1" a="1"/>
  <c r="G1593" i="1" s="1"/>
  <c r="K1580" i="1" a="1"/>
  <c r="K1580" i="1" s="1"/>
  <c r="K1596" i="1" a="1"/>
  <c r="K1596" i="1" s="1"/>
  <c r="F1596" i="1" a="1"/>
  <c r="F1596" i="1" s="1"/>
  <c r="J1596" i="1" a="1"/>
  <c r="J1596" i="1" s="1"/>
  <c r="G1594" i="1" a="1"/>
  <c r="G1594" i="1" s="1"/>
  <c r="H1594" i="1" a="1"/>
  <c r="H1594" i="1" s="1"/>
  <c r="I1594" i="1" a="1"/>
  <c r="I1594" i="1"/>
  <c r="H1602" i="1" a="1"/>
  <c r="H1602" i="1"/>
  <c r="G1602" i="1" a="1"/>
  <c r="G1602" i="1"/>
  <c r="F1602" i="1" a="1"/>
  <c r="F1602" i="1"/>
  <c r="K1594" i="1" a="1"/>
  <c r="K1594" i="1"/>
  <c r="G1596" i="1" a="1"/>
  <c r="G1596" i="1"/>
  <c r="I1593" i="1" a="1"/>
  <c r="I1593" i="1"/>
  <c r="H1596" i="1" a="1"/>
  <c r="H1596" i="1"/>
  <c r="F1594" i="1" a="1"/>
  <c r="F1594" i="1" s="1"/>
  <c r="I1596" i="1" a="1"/>
  <c r="I1596" i="1"/>
  <c r="J1594" i="1" a="1"/>
  <c r="J1594" i="1" s="1"/>
  <c r="K1593" i="1" a="1"/>
  <c r="K1593" i="1" s="1"/>
  <c r="J1593" i="1" a="1"/>
  <c r="J1593" i="1" s="1"/>
  <c r="F1593" i="1" a="1"/>
  <c r="F1593" i="1"/>
  <c r="H1593" i="1" a="1"/>
  <c r="H1593" i="1" s="1"/>
  <c r="I1577" i="1" a="1"/>
  <c r="I1577" i="1" s="1"/>
  <c r="G1572" i="1" a="1"/>
  <c r="G1572" i="1" s="1"/>
  <c r="J1572" i="1" a="1"/>
  <c r="J1572" i="1" s="1"/>
  <c r="F1572" i="1" a="1"/>
  <c r="F1572" i="1" s="1"/>
  <c r="J1579" i="1" a="1"/>
  <c r="J1579" i="1"/>
  <c r="I1574" i="1" a="1"/>
  <c r="I1574" i="1" s="1"/>
  <c r="H1570" i="1" a="1"/>
  <c r="H1570" i="1"/>
  <c r="J1574" i="1" a="1"/>
  <c r="J1574" i="1"/>
  <c r="I1576" i="1" a="1"/>
  <c r="I1576" i="1"/>
  <c r="H1579" i="1" a="1"/>
  <c r="H1579" i="1"/>
  <c r="J1575" i="1" a="1"/>
  <c r="J1575" i="1"/>
  <c r="I1572" i="1" a="1"/>
  <c r="I1572" i="1"/>
  <c r="G1570" i="1" a="1"/>
  <c r="G1570" i="1"/>
  <c r="I1579" i="1" a="1"/>
  <c r="I1579" i="1" s="1"/>
  <c r="G1575" i="1" a="1"/>
  <c r="G1575" i="1" s="1"/>
  <c r="J1578" i="1" a="1"/>
  <c r="J1578" i="1"/>
  <c r="F1574" i="1" a="1"/>
  <c r="F1574" i="1" s="1"/>
  <c r="I1573" i="1" a="1"/>
  <c r="I1573" i="1" s="1"/>
  <c r="J1573" i="1" a="1"/>
  <c r="J1573" i="1" s="1"/>
  <c r="K1575" i="1" a="1"/>
  <c r="K1575" i="1"/>
  <c r="K1576" i="1" a="1"/>
  <c r="K1576" i="1" s="1"/>
  <c r="G1574" i="1" a="1"/>
  <c r="G1574" i="1" s="1"/>
  <c r="I1580" i="1" a="1"/>
  <c r="I1580" i="1" s="1"/>
  <c r="F1578" i="1" a="1"/>
  <c r="F1578" i="1" s="1"/>
  <c r="F1575" i="1" a="1"/>
  <c r="F1575" i="1"/>
  <c r="F1579" i="1" a="1"/>
  <c r="F1579" i="1"/>
  <c r="H1578" i="1" a="1"/>
  <c r="H1578" i="1" s="1"/>
  <c r="G1580" i="1" a="1"/>
  <c r="G1580" i="1"/>
  <c r="H1575" i="1" a="1"/>
  <c r="H1575" i="1"/>
  <c r="F1580" i="1" a="1"/>
  <c r="F1580" i="1"/>
  <c r="K1572" i="1" a="1"/>
  <c r="K1572" i="1"/>
  <c r="K1579" i="1" a="1"/>
  <c r="K1579" i="1"/>
  <c r="K1577" i="1" a="1"/>
  <c r="K1577" i="1"/>
  <c r="K1578" i="1" a="1"/>
  <c r="K1578" i="1" s="1"/>
  <c r="I1578" i="1" a="1"/>
  <c r="I1578" i="1" s="1"/>
  <c r="G1578" i="1" a="1"/>
  <c r="G1578" i="1" s="1"/>
  <c r="J1577" i="1" a="1"/>
  <c r="J1577" i="1"/>
  <c r="I1575" i="1" a="1"/>
  <c r="I1575" i="1" s="1"/>
  <c r="H1577" i="1" a="1"/>
  <c r="H1577" i="1" s="1"/>
  <c r="G1577" i="1" a="1"/>
  <c r="G1577" i="1" s="1"/>
  <c r="F1577" i="1" a="1"/>
  <c r="F1577" i="1"/>
  <c r="I1570" i="1" a="1"/>
  <c r="I1570" i="1" s="1"/>
  <c r="H1576" i="1" a="1"/>
  <c r="H1576" i="1" s="1"/>
  <c r="F1573" i="1" a="1"/>
  <c r="F1573" i="1" s="1"/>
  <c r="K1573" i="1" a="1"/>
  <c r="K1573" i="1"/>
  <c r="H1573" i="1" a="1"/>
  <c r="H1573" i="1"/>
  <c r="G1573" i="1" a="1"/>
  <c r="G1573" i="1"/>
  <c r="J1570" i="1" a="1"/>
  <c r="J1570" i="1" s="1"/>
  <c r="F1570" i="1" a="1"/>
  <c r="F1570" i="1"/>
  <c r="G1576" i="1" a="1"/>
  <c r="G1576" i="1"/>
  <c r="H1574" i="1" a="1"/>
  <c r="H1574" i="1"/>
  <c r="F1576" i="1" a="1"/>
  <c r="F1576" i="1"/>
  <c r="J1576" i="1" a="1"/>
  <c r="J1576" i="1"/>
  <c r="H1572" i="1" a="1"/>
  <c r="H1572" i="1" s="1"/>
  <c r="K1570" i="1" a="1"/>
  <c r="K1570" i="1" s="1"/>
  <c r="K1574" i="1" a="1"/>
  <c r="K1574" i="1" s="1"/>
  <c r="J1580" i="1" a="1"/>
  <c r="J1580" i="1" s="1"/>
  <c r="H1580" i="1" a="1"/>
  <c r="H1580" i="1"/>
  <c r="G1579" i="1" a="1"/>
  <c r="G1579" i="1" s="1"/>
  <c r="I1562" i="1" a="1"/>
  <c r="I1562" i="1" s="1"/>
  <c r="G1556" i="1" a="1"/>
  <c r="G1556" i="1" s="1"/>
  <c r="F1555" i="1" a="1"/>
  <c r="F1555" i="1"/>
  <c r="H1555" i="1" a="1"/>
  <c r="H1555" i="1" s="1"/>
  <c r="G1562" i="1" a="1"/>
  <c r="G1562" i="1" s="1"/>
  <c r="J1556" i="1" a="1"/>
  <c r="J1556" i="1"/>
  <c r="H1549" i="1" a="1"/>
  <c r="H1549" i="1"/>
  <c r="F1549" i="1" a="1"/>
  <c r="F1549" i="1"/>
  <c r="G1555" i="1" a="1"/>
  <c r="G1555" i="1"/>
  <c r="K1563" i="1" a="1"/>
  <c r="K1563" i="1" s="1"/>
  <c r="F1563" i="1" a="1"/>
  <c r="F1563" i="1"/>
  <c r="F1556" i="1" a="1"/>
  <c r="F1556" i="1"/>
  <c r="I1555" i="1" a="1"/>
  <c r="I1555" i="1"/>
  <c r="K1547" i="1" a="1"/>
  <c r="K1547" i="1"/>
  <c r="K1564" i="1" a="1"/>
  <c r="K1564" i="1" s="1"/>
  <c r="H1564" i="1" a="1"/>
  <c r="H1564" i="1" s="1"/>
  <c r="J1564" i="1" a="1"/>
  <c r="J1564" i="1" s="1"/>
  <c r="I1564" i="1" a="1"/>
  <c r="I1564" i="1" s="1"/>
  <c r="K1549" i="1" a="1"/>
  <c r="K1549" i="1" s="1"/>
  <c r="G1564" i="1" a="1"/>
  <c r="G1564" i="1"/>
  <c r="H1556" i="1" a="1"/>
  <c r="H1556" i="1" s="1"/>
  <c r="F1564" i="1" a="1"/>
  <c r="F1564" i="1" s="1"/>
  <c r="J1563" i="1" a="1"/>
  <c r="J1563" i="1" s="1"/>
  <c r="I1563" i="1" a="1"/>
  <c r="I1563" i="1"/>
  <c r="K1562" i="1" a="1"/>
  <c r="K1562" i="1" s="1"/>
  <c r="I1556" i="1" a="1"/>
  <c r="I1556" i="1"/>
  <c r="H1563" i="1" a="1"/>
  <c r="H1563" i="1"/>
  <c r="H1562" i="1" a="1"/>
  <c r="H1562" i="1"/>
  <c r="J1547" i="1" a="1"/>
  <c r="J1547" i="1"/>
  <c r="G1563" i="1" a="1"/>
  <c r="G1563" i="1"/>
  <c r="J1562" i="1" a="1"/>
  <c r="J1562" i="1" s="1"/>
  <c r="K1556" i="1" a="1"/>
  <c r="K1556" i="1"/>
  <c r="F1562" i="1" a="1"/>
  <c r="F1562" i="1"/>
  <c r="I1547" i="1" a="1"/>
  <c r="I1547" i="1"/>
  <c r="G1549" i="1" a="1"/>
  <c r="G1549" i="1" s="1"/>
  <c r="H1547" i="1" a="1"/>
  <c r="H1547" i="1" s="1"/>
  <c r="J1555" i="1" a="1"/>
  <c r="J1555" i="1" s="1"/>
  <c r="K1555" i="1" a="1"/>
  <c r="K1555" i="1" s="1"/>
  <c r="J1549" i="1" a="1"/>
  <c r="J1549" i="1" s="1"/>
  <c r="I1549" i="1" a="1"/>
  <c r="I1549" i="1" s="1"/>
  <c r="K1523" i="1" a="1"/>
  <c r="K1523" i="1"/>
  <c r="I1524" i="1" a="1"/>
  <c r="I1524" i="1" s="1"/>
  <c r="I1528" i="1" a="1"/>
  <c r="I1528" i="1" s="1"/>
  <c r="J1524" i="1" a="1"/>
  <c r="J1524" i="1" s="1"/>
  <c r="I1525" i="1" a="1"/>
  <c r="I1525" i="1" s="1"/>
  <c r="H1522" i="1" a="1"/>
  <c r="H1522" i="1"/>
  <c r="K1546" i="1" a="1"/>
  <c r="K1546" i="1"/>
  <c r="J1546" i="1" a="1"/>
  <c r="J1546" i="1"/>
  <c r="G1525" i="1" a="1"/>
  <c r="G1525" i="1"/>
  <c r="I1546" i="1" a="1"/>
  <c r="I1546" i="1"/>
  <c r="F1525" i="1" a="1"/>
  <c r="F1525" i="1"/>
  <c r="H1546" i="1" a="1"/>
  <c r="H1546" i="1" s="1"/>
  <c r="K1527" i="1" a="1"/>
  <c r="K1527" i="1"/>
  <c r="K1528" i="1" a="1"/>
  <c r="K1528" i="1"/>
  <c r="F1523" i="1" a="1"/>
  <c r="F1523" i="1" s="1"/>
  <c r="H1524" i="1" a="1"/>
  <c r="H1524" i="1"/>
  <c r="F1529" i="1" a="1"/>
  <c r="F1529" i="1" s="1"/>
  <c r="K1529" i="1" a="1"/>
  <c r="K1529" i="1" s="1"/>
  <c r="G1529" i="1" a="1"/>
  <c r="G1529" i="1" s="1"/>
  <c r="I1522" i="1" a="1"/>
  <c r="I1522" i="1" s="1"/>
  <c r="G1527" i="1" a="1"/>
  <c r="G1527" i="1" s="1"/>
  <c r="J1526" i="1" a="1"/>
  <c r="J1526" i="1"/>
  <c r="J1525" i="1" a="1"/>
  <c r="J1525" i="1" s="1"/>
  <c r="G1526" i="1" a="1"/>
  <c r="G1526" i="1" s="1"/>
  <c r="G1524" i="1" a="1"/>
  <c r="G1524" i="1" s="1"/>
  <c r="F1547" i="1" a="1"/>
  <c r="F1547" i="1" s="1"/>
  <c r="G1546" i="1" a="1"/>
  <c r="G1546" i="1"/>
  <c r="K1522" i="1" a="1"/>
  <c r="K1522" i="1"/>
  <c r="J1529" i="1" a="1"/>
  <c r="J1529" i="1"/>
  <c r="G1528" i="1" a="1"/>
  <c r="G1528" i="1"/>
  <c r="I1527" i="1" a="1"/>
  <c r="I1527" i="1"/>
  <c r="H1527" i="1" a="1"/>
  <c r="H1527" i="1"/>
  <c r="F1528" i="1" a="1"/>
  <c r="F1528" i="1" s="1"/>
  <c r="H1526" i="1" a="1"/>
  <c r="H1526" i="1"/>
  <c r="H1525" i="1" a="1"/>
  <c r="H1525" i="1" s="1"/>
  <c r="F1524" i="1" a="1"/>
  <c r="F1524" i="1"/>
  <c r="G1523" i="1" a="1"/>
  <c r="G1523" i="1"/>
  <c r="F1546" i="1" a="1"/>
  <c r="F1546" i="1" s="1"/>
  <c r="K1524" i="1" a="1"/>
  <c r="K1524" i="1" s="1"/>
  <c r="H1523" i="1" a="1"/>
  <c r="H1523" i="1" s="1"/>
  <c r="J1528" i="1" a="1"/>
  <c r="J1528" i="1" s="1"/>
  <c r="I1526" i="1" a="1"/>
  <c r="I1526" i="1" s="1"/>
  <c r="J1522" i="1" a="1"/>
  <c r="J1522" i="1"/>
  <c r="F1526" i="1" a="1"/>
  <c r="F1526" i="1" s="1"/>
  <c r="I1523" i="1" a="1"/>
  <c r="I1523" i="1" s="1"/>
  <c r="G1547" i="1" a="1"/>
  <c r="G1547" i="1"/>
  <c r="I1529" i="1" a="1"/>
  <c r="I1529" i="1" s="1"/>
  <c r="H1529" i="1" a="1"/>
  <c r="H1529" i="1"/>
  <c r="F1527" i="1" a="1"/>
  <c r="F1527" i="1"/>
  <c r="K1525" i="1" a="1"/>
  <c r="K1525" i="1"/>
  <c r="H1528" i="1" a="1"/>
  <c r="H1528" i="1"/>
  <c r="K1526" i="1" a="1"/>
  <c r="K1526" i="1"/>
  <c r="J1523" i="1" a="1"/>
  <c r="J1523" i="1"/>
  <c r="J1527" i="1" a="1"/>
  <c r="J1527" i="1" s="1"/>
  <c r="H1519" i="1" a="1"/>
  <c r="H1519" i="1" s="1"/>
  <c r="F1517" i="1" a="1"/>
  <c r="F1517" i="1" s="1"/>
  <c r="J1517" i="1" a="1"/>
  <c r="J1517" i="1"/>
  <c r="G1515" i="1" a="1"/>
  <c r="G1515" i="1"/>
  <c r="G1518" i="1" a="1"/>
  <c r="G1518" i="1" s="1"/>
  <c r="I1521" i="1" a="1"/>
  <c r="I1521" i="1" s="1"/>
  <c r="I1511" i="1" a="1"/>
  <c r="I1511" i="1" s="1"/>
  <c r="K1515" i="1" a="1"/>
  <c r="K1515" i="1" s="1"/>
  <c r="F1519" i="1" a="1"/>
  <c r="F1519" i="1" s="1"/>
  <c r="J1511" i="1" a="1"/>
  <c r="J1511" i="1"/>
  <c r="H1517" i="1" a="1"/>
  <c r="H1517" i="1" s="1"/>
  <c r="K1520" i="1" a="1"/>
  <c r="K1520" i="1"/>
  <c r="K1514" i="1" a="1"/>
  <c r="K1514" i="1"/>
  <c r="I1514" i="1" a="1"/>
  <c r="I1514" i="1" s="1"/>
  <c r="G1514" i="1" a="1"/>
  <c r="G1514" i="1"/>
  <c r="H1512" i="1" a="1"/>
  <c r="H1512" i="1"/>
  <c r="K1521" i="1" a="1"/>
  <c r="K1521" i="1"/>
  <c r="H1521" i="1" a="1"/>
  <c r="H1521" i="1"/>
  <c r="J1519" i="1" a="1"/>
  <c r="J1519" i="1"/>
  <c r="H1513" i="1" a="1"/>
  <c r="H1513" i="1"/>
  <c r="K1512" i="1" a="1"/>
  <c r="K1512" i="1" s="1"/>
  <c r="K1519" i="1" a="1"/>
  <c r="K1519" i="1" s="1"/>
  <c r="F1513" i="1" a="1"/>
  <c r="F1513" i="1" s="1"/>
  <c r="K1511" i="1" a="1"/>
  <c r="K1511" i="1"/>
  <c r="G1520" i="1" a="1"/>
  <c r="G1520" i="1"/>
  <c r="F1514" i="1" a="1"/>
  <c r="F1514" i="1" s="1"/>
  <c r="I1512" i="1" a="1"/>
  <c r="I1512" i="1" s="1"/>
  <c r="J1513" i="1" a="1"/>
  <c r="J1513" i="1" s="1"/>
  <c r="G1512" i="1" a="1"/>
  <c r="G1512" i="1" s="1"/>
  <c r="F1522" i="1" a="1"/>
  <c r="F1522" i="1" s="1"/>
  <c r="I1518" i="1" a="1"/>
  <c r="I1518" i="1" s="1"/>
  <c r="G1521" i="1" a="1"/>
  <c r="G1521" i="1" s="1"/>
  <c r="J1520" i="1" a="1"/>
  <c r="J1520" i="1"/>
  <c r="G1519" i="1" a="1"/>
  <c r="G1519" i="1"/>
  <c r="J1514" i="1" a="1"/>
  <c r="J1514" i="1" s="1"/>
  <c r="F1518" i="1" a="1"/>
  <c r="F1518" i="1"/>
  <c r="H1514" i="1" a="1"/>
  <c r="H1514" i="1"/>
  <c r="K1518" i="1" a="1"/>
  <c r="K1518" i="1"/>
  <c r="G1517" i="1" a="1"/>
  <c r="G1517" i="1"/>
  <c r="J1518" i="1" a="1"/>
  <c r="J1518" i="1"/>
  <c r="F1512" i="1" a="1"/>
  <c r="F1512" i="1" s="1"/>
  <c r="H1515" i="1" a="1"/>
  <c r="H1515" i="1"/>
  <c r="G1513" i="1" a="1"/>
  <c r="G1513" i="1" s="1"/>
  <c r="I1515" i="1" a="1"/>
  <c r="I1515" i="1" s="1"/>
  <c r="H1518" i="1" a="1"/>
  <c r="H1518" i="1"/>
  <c r="J1515" i="1" a="1"/>
  <c r="J1515" i="1"/>
  <c r="K1517" i="1" a="1"/>
  <c r="K1517" i="1" s="1"/>
  <c r="J1512" i="1" a="1"/>
  <c r="J1512" i="1" s="1"/>
  <c r="I1520" i="1" a="1"/>
  <c r="I1520" i="1" s="1"/>
  <c r="I1513" i="1" a="1"/>
  <c r="I1513" i="1" s="1"/>
  <c r="F1520" i="1" a="1"/>
  <c r="F1520" i="1" s="1"/>
  <c r="G1522" i="1" a="1"/>
  <c r="G1522" i="1"/>
  <c r="J1521" i="1" a="1"/>
  <c r="J1521" i="1" s="1"/>
  <c r="F1515" i="1" a="1"/>
  <c r="F1515" i="1" s="1"/>
  <c r="F1521" i="1" a="1"/>
  <c r="F1521" i="1"/>
  <c r="I1517" i="1" a="1"/>
  <c r="I1517" i="1" s="1"/>
  <c r="K1513" i="1" a="1"/>
  <c r="K1513" i="1"/>
  <c r="H1520" i="1" a="1"/>
  <c r="H1520" i="1"/>
  <c r="I1519" i="1" a="1"/>
  <c r="I1519" i="1"/>
  <c r="H1505" i="1" a="1"/>
  <c r="H1505" i="1"/>
  <c r="G1498" i="1" a="1"/>
  <c r="G1498" i="1" s="1"/>
  <c r="F1505" i="1" a="1"/>
  <c r="F1505" i="1" s="1"/>
  <c r="K1499" i="1" a="1"/>
  <c r="K1499" i="1"/>
  <c r="K1505" i="1" a="1"/>
  <c r="K1505" i="1" s="1"/>
  <c r="I1499" i="1" a="1"/>
  <c r="I1499" i="1" s="1"/>
  <c r="I1498" i="1" a="1"/>
  <c r="I1498" i="1"/>
  <c r="H1504" i="1" a="1"/>
  <c r="H1504" i="1"/>
  <c r="J1502" i="1" a="1"/>
  <c r="J1502" i="1" s="1"/>
  <c r="H1502" i="1" a="1"/>
  <c r="H1502" i="1" s="1"/>
  <c r="F1502" i="1" a="1"/>
  <c r="F1502" i="1" s="1"/>
  <c r="K1500" i="1" a="1"/>
  <c r="K1500" i="1" s="1"/>
  <c r="I1500" i="1" a="1"/>
  <c r="I1500" i="1"/>
  <c r="J1498" i="1" a="1"/>
  <c r="J1498" i="1"/>
  <c r="H1511" i="1" a="1"/>
  <c r="H1511" i="1" s="1"/>
  <c r="G1511" i="1" a="1"/>
  <c r="G1511" i="1" s="1"/>
  <c r="F1511" i="1" a="1"/>
  <c r="F1511" i="1"/>
  <c r="J1499" i="1" a="1"/>
  <c r="J1499" i="1" s="1"/>
  <c r="G1504" i="1" a="1"/>
  <c r="G1504" i="1"/>
  <c r="F1503" i="1" a="1"/>
  <c r="F1503" i="1"/>
  <c r="K1502" i="1" a="1"/>
  <c r="K1502" i="1"/>
  <c r="H1498" i="1" a="1"/>
  <c r="H1498" i="1" s="1"/>
  <c r="I1503" i="1" a="1"/>
  <c r="I1503" i="1" s="1"/>
  <c r="H1500" i="1" a="1"/>
  <c r="H1500" i="1" s="1"/>
  <c r="J1505" i="1" a="1"/>
  <c r="J1505" i="1"/>
  <c r="F1504" i="1" a="1"/>
  <c r="F1504" i="1" s="1"/>
  <c r="I1504" i="1" a="1"/>
  <c r="I1504" i="1" s="1"/>
  <c r="J1504" i="1" a="1"/>
  <c r="J1504" i="1"/>
  <c r="G1500" i="1" a="1"/>
  <c r="G1500" i="1"/>
  <c r="I1502" i="1" a="1"/>
  <c r="I1502" i="1" s="1"/>
  <c r="F1499" i="1" a="1"/>
  <c r="F1499" i="1" s="1"/>
  <c r="J1503" i="1" a="1"/>
  <c r="J1503" i="1" s="1"/>
  <c r="G1505" i="1" a="1"/>
  <c r="G1505" i="1"/>
  <c r="H1503" i="1" a="1"/>
  <c r="H1503" i="1"/>
  <c r="G1503" i="1" a="1"/>
  <c r="G1503" i="1"/>
  <c r="F1500" i="1" a="1"/>
  <c r="F1500" i="1" s="1"/>
  <c r="K1498" i="1" a="1"/>
  <c r="K1498" i="1" s="1"/>
  <c r="K1503" i="1" a="1"/>
  <c r="K1503" i="1"/>
  <c r="J1500" i="1" a="1"/>
  <c r="J1500" i="1" s="1"/>
  <c r="K1504" i="1" a="1"/>
  <c r="K1504" i="1"/>
  <c r="H1499" i="1" a="1"/>
  <c r="H1499" i="1"/>
  <c r="G1502" i="1" a="1"/>
  <c r="G1502" i="1" s="1"/>
  <c r="G1499" i="1" a="1"/>
  <c r="G1499" i="1" s="1"/>
  <c r="I1505" i="1" a="1"/>
  <c r="I1505" i="1" s="1"/>
  <c r="I1483" i="1" a="1"/>
  <c r="I1483" i="1" s="1"/>
  <c r="J1485" i="1" a="1"/>
  <c r="J1485" i="1"/>
  <c r="H1485" i="1" a="1"/>
  <c r="H1485" i="1" s="1"/>
  <c r="K1483" i="1" a="1"/>
  <c r="K1483" i="1" s="1"/>
  <c r="F1490" i="1" a="1"/>
  <c r="F1490" i="1"/>
  <c r="J1492" i="1" a="1"/>
  <c r="J1492" i="1"/>
  <c r="H1492" i="1" a="1"/>
  <c r="H1492" i="1" s="1"/>
  <c r="F1492" i="1" a="1"/>
  <c r="F1492" i="1" s="1"/>
  <c r="I1485" i="1" a="1"/>
  <c r="I1485" i="1"/>
  <c r="F1485" i="1" a="1"/>
  <c r="F1485" i="1"/>
  <c r="G1483" i="1" a="1"/>
  <c r="G1483" i="1"/>
  <c r="F1498" i="1" a="1"/>
  <c r="F1498" i="1"/>
  <c r="J1497" i="1" a="1"/>
  <c r="J1497" i="1" s="1"/>
  <c r="I1497" i="1" a="1"/>
  <c r="I1497" i="1" s="1"/>
  <c r="F1483" i="1" a="1"/>
  <c r="F1483" i="1"/>
  <c r="K1490" i="1" a="1"/>
  <c r="K1490" i="1" s="1"/>
  <c r="J1483" i="1" a="1"/>
  <c r="J1483" i="1"/>
  <c r="F1497" i="1" a="1"/>
  <c r="F1497" i="1" s="1"/>
  <c r="K1497" i="1" a="1"/>
  <c r="K1497" i="1" s="1"/>
  <c r="H1497" i="1" a="1"/>
  <c r="H1497" i="1" s="1"/>
  <c r="G1497" i="1" a="1"/>
  <c r="G1497" i="1" s="1"/>
  <c r="K1492" i="1" a="1"/>
  <c r="K1492" i="1" s="1"/>
  <c r="I1492" i="1" a="1"/>
  <c r="I1492" i="1"/>
  <c r="H1490" i="1" a="1"/>
  <c r="H1490" i="1" s="1"/>
  <c r="G1492" i="1" a="1"/>
  <c r="G1492" i="1" s="1"/>
  <c r="J1490" i="1" a="1"/>
  <c r="J1490" i="1"/>
  <c r="G1490" i="1" a="1"/>
  <c r="G1490" i="1"/>
  <c r="H1483" i="1" a="1"/>
  <c r="H1483" i="1" s="1"/>
  <c r="I1490" i="1" a="1"/>
  <c r="I1490" i="1"/>
  <c r="G1485" i="1" a="1"/>
  <c r="G1485" i="1"/>
  <c r="K1485" i="1" a="1"/>
  <c r="K1485" i="1"/>
  <c r="J1450" i="1" a="1"/>
  <c r="J1450" i="1"/>
  <c r="J1453" i="1" a="1"/>
  <c r="J1453" i="1"/>
  <c r="K1450" i="1" a="1"/>
  <c r="K1450" i="1" s="1"/>
  <c r="G1450" i="1" a="1"/>
  <c r="G1450" i="1" s="1"/>
  <c r="K1454" i="1" a="1"/>
  <c r="K1454" i="1"/>
  <c r="J1456" i="1" a="1"/>
  <c r="J1456" i="1" s="1"/>
  <c r="J1449" i="1" a="1"/>
  <c r="J1449" i="1" s="1"/>
  <c r="H1456" i="1" a="1"/>
  <c r="H1456" i="1" s="1"/>
  <c r="I1454" i="1" a="1"/>
  <c r="I1454" i="1" s="1"/>
  <c r="G1454" i="1" a="1"/>
  <c r="G1454" i="1" s="1"/>
  <c r="J1454" i="1" a="1"/>
  <c r="J1454" i="1" s="1"/>
  <c r="I1451" i="1" a="1"/>
  <c r="I1451" i="1" s="1"/>
  <c r="H1451" i="1" a="1"/>
  <c r="H1451" i="1"/>
  <c r="J1455" i="1" a="1"/>
  <c r="J1455" i="1" s="1"/>
  <c r="G1455" i="1" a="1"/>
  <c r="G1455" i="1" s="1"/>
  <c r="J1451" i="1" a="1"/>
  <c r="J1451" i="1"/>
  <c r="I1450" i="1" a="1"/>
  <c r="I1450" i="1" s="1"/>
  <c r="F1451" i="1" a="1"/>
  <c r="F1451" i="1"/>
  <c r="J1452" i="1" a="1"/>
  <c r="J1452" i="1"/>
  <c r="K1455" i="1" a="1"/>
  <c r="K1455" i="1"/>
  <c r="I1455" i="1" a="1"/>
  <c r="I1455" i="1"/>
  <c r="I1449" i="1" a="1"/>
  <c r="I1449" i="1"/>
  <c r="F1455" i="1" a="1"/>
  <c r="F1455" i="1"/>
  <c r="G1452" i="1" a="1"/>
  <c r="G1452" i="1" s="1"/>
  <c r="K1453" i="1" a="1"/>
  <c r="K1453" i="1" s="1"/>
  <c r="H1455" i="1" a="1"/>
  <c r="H1455" i="1"/>
  <c r="F1452" i="1" a="1"/>
  <c r="F1452" i="1" s="1"/>
  <c r="F1450" i="1" a="1"/>
  <c r="F1450" i="1"/>
  <c r="G1451" i="1" a="1"/>
  <c r="G1451" i="1" s="1"/>
  <c r="G1453" i="1" a="1"/>
  <c r="G1453" i="1" s="1"/>
  <c r="I1452" i="1" a="1"/>
  <c r="I1452" i="1" s="1"/>
  <c r="H1450" i="1" a="1"/>
  <c r="H1450" i="1" s="1"/>
  <c r="K1456" i="1" a="1"/>
  <c r="K1456" i="1" s="1"/>
  <c r="I1456" i="1" a="1"/>
  <c r="I1456" i="1"/>
  <c r="G1456" i="1" a="1"/>
  <c r="G1456" i="1" s="1"/>
  <c r="H1452" i="1" a="1"/>
  <c r="H1452" i="1" s="1"/>
  <c r="H1453" i="1" a="1"/>
  <c r="H1453" i="1" s="1"/>
  <c r="F1456" i="1" a="1"/>
  <c r="F1456" i="1" s="1"/>
  <c r="F1453" i="1" a="1"/>
  <c r="F1453" i="1"/>
  <c r="H1454" i="1" a="1"/>
  <c r="H1454" i="1"/>
  <c r="H1449" i="1" a="1"/>
  <c r="H1449" i="1"/>
  <c r="I1453" i="1" a="1"/>
  <c r="I1453" i="1"/>
  <c r="F1454" i="1" a="1"/>
  <c r="F1454" i="1"/>
  <c r="K1449" i="1" a="1"/>
  <c r="K1449" i="1"/>
  <c r="K1451" i="1" a="1"/>
  <c r="K1451" i="1" s="1"/>
  <c r="K1452" i="1" a="1"/>
  <c r="K1452" i="1" s="1"/>
  <c r="I1441" i="1" a="1"/>
  <c r="I1441" i="1" s="1"/>
  <c r="K1447" i="1" a="1"/>
  <c r="K1447" i="1"/>
  <c r="J1447" i="1" a="1"/>
  <c r="J1447" i="1"/>
  <c r="H1447" i="1" a="1"/>
  <c r="H1447" i="1" s="1"/>
  <c r="K1442" i="1" a="1"/>
  <c r="K1442" i="1" s="1"/>
  <c r="K1441" i="1" a="1"/>
  <c r="K1441" i="1" s="1"/>
  <c r="G1447" i="1" a="1"/>
  <c r="G1447" i="1" s="1"/>
  <c r="H1441" i="1" a="1"/>
  <c r="H1441" i="1" s="1"/>
  <c r="G1440" i="1" a="1"/>
  <c r="G1440" i="1"/>
  <c r="J1440" i="1" a="1"/>
  <c r="J1440" i="1" s="1"/>
  <c r="J1438" i="1" a="1"/>
  <c r="J1438" i="1" s="1"/>
  <c r="F1447" i="1" a="1"/>
  <c r="F1447" i="1"/>
  <c r="K1440" i="1" a="1"/>
  <c r="K1440" i="1" s="1"/>
  <c r="H1446" i="1" a="1"/>
  <c r="H1446" i="1"/>
  <c r="G1444" i="1" a="1"/>
  <c r="G1444" i="1"/>
  <c r="I1443" i="1" a="1"/>
  <c r="I1443" i="1"/>
  <c r="H1439" i="1" a="1"/>
  <c r="H1439" i="1"/>
  <c r="I1440" i="1" a="1"/>
  <c r="I1440" i="1"/>
  <c r="K1445" i="1" a="1"/>
  <c r="K1445" i="1"/>
  <c r="K1439" i="1" a="1"/>
  <c r="K1439" i="1" s="1"/>
  <c r="F1445" i="1" a="1"/>
  <c r="F1445" i="1" s="1"/>
  <c r="J1448" i="1" a="1"/>
  <c r="J1448" i="1" s="1"/>
  <c r="J1442" i="1" a="1"/>
  <c r="J1442" i="1"/>
  <c r="H1448" i="1" a="1"/>
  <c r="H1448" i="1"/>
  <c r="I1447" i="1" a="1"/>
  <c r="I1447" i="1" s="1"/>
  <c r="J1446" i="1" a="1"/>
  <c r="J1446" i="1" s="1"/>
  <c r="I1446" i="1" a="1"/>
  <c r="I1446" i="1" s="1"/>
  <c r="I1442" i="1" a="1"/>
  <c r="I1442" i="1" s="1"/>
  <c r="G1446" i="1" a="1"/>
  <c r="G1446" i="1" s="1"/>
  <c r="K1438" i="1" a="1"/>
  <c r="K1438" i="1"/>
  <c r="G1442" i="1" a="1"/>
  <c r="G1442" i="1" s="1"/>
  <c r="F1439" i="1" a="1"/>
  <c r="F1439" i="1" s="1"/>
  <c r="K1443" i="1" a="1"/>
  <c r="K1443" i="1"/>
  <c r="F1446" i="1" a="1"/>
  <c r="F1446" i="1" s="1"/>
  <c r="J1445" i="1" a="1"/>
  <c r="J1445" i="1"/>
  <c r="F1444" i="1" a="1"/>
  <c r="F1444" i="1"/>
  <c r="I1439" i="1" a="1"/>
  <c r="I1439" i="1"/>
  <c r="H1440" i="1" a="1"/>
  <c r="H1440" i="1"/>
  <c r="H1445" i="1" a="1"/>
  <c r="H1445" i="1"/>
  <c r="H1442" i="1" a="1"/>
  <c r="H1442" i="1"/>
  <c r="J1441" i="1" a="1"/>
  <c r="J1441" i="1" s="1"/>
  <c r="K1444" i="1" a="1"/>
  <c r="K1444" i="1" s="1"/>
  <c r="I1445" i="1" a="1"/>
  <c r="I1445" i="1" s="1"/>
  <c r="J1444" i="1" a="1"/>
  <c r="J1444" i="1"/>
  <c r="G1441" i="1" a="1"/>
  <c r="G1441" i="1"/>
  <c r="H1444" i="1" a="1"/>
  <c r="H1444" i="1" s="1"/>
  <c r="F1442" i="1" a="1"/>
  <c r="F1442" i="1" s="1"/>
  <c r="H1443" i="1" a="1"/>
  <c r="H1443" i="1" s="1"/>
  <c r="J1443" i="1" a="1"/>
  <c r="J1443" i="1" s="1"/>
  <c r="F1441" i="1" a="1"/>
  <c r="F1441" i="1" s="1"/>
  <c r="I1444" i="1" a="1"/>
  <c r="I1444" i="1" s="1"/>
  <c r="G1439" i="1" a="1"/>
  <c r="G1439" i="1" s="1"/>
  <c r="J1439" i="1" a="1"/>
  <c r="J1439" i="1" s="1"/>
  <c r="K1446" i="1" a="1"/>
  <c r="K1446" i="1"/>
  <c r="G1443" i="1" a="1"/>
  <c r="G1443" i="1" s="1"/>
  <c r="G1448" i="1" a="1"/>
  <c r="G1448" i="1"/>
  <c r="F1440" i="1" a="1"/>
  <c r="F1440" i="1"/>
  <c r="G1449" i="1" a="1"/>
  <c r="G1449" i="1"/>
  <c r="F1449" i="1" a="1"/>
  <c r="F1449" i="1"/>
  <c r="K1448" i="1" a="1"/>
  <c r="K1448" i="1"/>
  <c r="F1443" i="1" a="1"/>
  <c r="F1443" i="1" s="1"/>
  <c r="I1448" i="1" a="1"/>
  <c r="I1448" i="1"/>
  <c r="F1448" i="1" a="1"/>
  <c r="F1448" i="1" s="1"/>
  <c r="G1445" i="1" a="1"/>
  <c r="G1445" i="1" s="1"/>
  <c r="I1428" i="1" a="1"/>
  <c r="I1428" i="1"/>
  <c r="H1438" i="1" a="1"/>
  <c r="H1438" i="1"/>
  <c r="G1431" i="1" a="1"/>
  <c r="G1431" i="1" s="1"/>
  <c r="K1429" i="1" a="1"/>
  <c r="K1429" i="1" s="1"/>
  <c r="G1438" i="1" a="1"/>
  <c r="G1438" i="1" s="1"/>
  <c r="F1436" i="1" a="1"/>
  <c r="F1436" i="1" s="1"/>
  <c r="J1435" i="1" a="1"/>
  <c r="J1435" i="1" s="1"/>
  <c r="J1431" i="1" a="1"/>
  <c r="J1431" i="1"/>
  <c r="J1432" i="1" a="1"/>
  <c r="J1432" i="1" s="1"/>
  <c r="F1431" i="1" a="1"/>
  <c r="F1431" i="1" s="1"/>
  <c r="K1430" i="1" a="1"/>
  <c r="K1430" i="1"/>
  <c r="H1429" i="1" a="1"/>
  <c r="H1429" i="1" s="1"/>
  <c r="I1430" i="1" a="1"/>
  <c r="I1430" i="1"/>
  <c r="K1437" i="1" a="1"/>
  <c r="K1437" i="1"/>
  <c r="H1430" i="1" a="1"/>
  <c r="H1430" i="1"/>
  <c r="G1436" i="1" a="1"/>
  <c r="G1436" i="1"/>
  <c r="J1430" i="1" a="1"/>
  <c r="J1430" i="1" s="1"/>
  <c r="H1428" i="1" a="1"/>
  <c r="H1428" i="1" s="1"/>
  <c r="K1434" i="1" a="1"/>
  <c r="K1434" i="1"/>
  <c r="F1438" i="1" a="1"/>
  <c r="F1438" i="1" s="1"/>
  <c r="F1429" i="1" a="1"/>
  <c r="F1429" i="1" s="1"/>
  <c r="G1437" i="1" a="1"/>
  <c r="G1437" i="1"/>
  <c r="I1437" i="1" a="1"/>
  <c r="I1437" i="1"/>
  <c r="G1432" i="1" a="1"/>
  <c r="G1432" i="1" s="1"/>
  <c r="J1437" i="1" a="1"/>
  <c r="J1437" i="1" s="1"/>
  <c r="I1434" i="1" a="1"/>
  <c r="I1434" i="1" s="1"/>
  <c r="H1437" i="1" a="1"/>
  <c r="H1437" i="1" s="1"/>
  <c r="G1429" i="1" a="1"/>
  <c r="G1429" i="1"/>
  <c r="F1437" i="1" a="1"/>
  <c r="F1437" i="1"/>
  <c r="K1435" i="1" a="1"/>
  <c r="K1435" i="1" s="1"/>
  <c r="H1434" i="1" a="1"/>
  <c r="H1434" i="1" s="1"/>
  <c r="G1434" i="1" a="1"/>
  <c r="G1434" i="1"/>
  <c r="I1429" i="1" a="1"/>
  <c r="I1429" i="1" s="1"/>
  <c r="I1432" i="1" a="1"/>
  <c r="I1432" i="1"/>
  <c r="F1432" i="1" a="1"/>
  <c r="F1432" i="1"/>
  <c r="H1431" i="1" a="1"/>
  <c r="H1431" i="1"/>
  <c r="G1430" i="1" a="1"/>
  <c r="G1430" i="1" s="1"/>
  <c r="K1428" i="1" a="1"/>
  <c r="K1428" i="1" s="1"/>
  <c r="K1436" i="1" a="1"/>
  <c r="K1436" i="1" s="1"/>
  <c r="J1429" i="1" a="1"/>
  <c r="J1429" i="1"/>
  <c r="J1436" i="1" a="1"/>
  <c r="J1436" i="1" s="1"/>
  <c r="H1436" i="1" a="1"/>
  <c r="H1436" i="1" s="1"/>
  <c r="K1431" i="1" a="1"/>
  <c r="K1431" i="1"/>
  <c r="F1434" i="1" a="1"/>
  <c r="F1434" i="1"/>
  <c r="K1432" i="1" a="1"/>
  <c r="K1432" i="1" s="1"/>
  <c r="F1435" i="1" a="1"/>
  <c r="F1435" i="1" s="1"/>
  <c r="J1428" i="1" a="1"/>
  <c r="J1428" i="1" s="1"/>
  <c r="I1438" i="1" a="1"/>
  <c r="I1438" i="1"/>
  <c r="I1436" i="1" a="1"/>
  <c r="I1436" i="1"/>
  <c r="J1434" i="1" a="1"/>
  <c r="J1434" i="1"/>
  <c r="I1435" i="1" a="1"/>
  <c r="I1435" i="1" s="1"/>
  <c r="H1432" i="1" a="1"/>
  <c r="H1432" i="1" s="1"/>
  <c r="H1435" i="1" a="1"/>
  <c r="H1435" i="1"/>
  <c r="G1435" i="1" a="1"/>
  <c r="G1435" i="1" s="1"/>
  <c r="F1430" i="1" a="1"/>
  <c r="F1430" i="1"/>
  <c r="I1431" i="1" a="1"/>
  <c r="I1431" i="1"/>
  <c r="K1418" i="1" a="1"/>
  <c r="K1418" i="1" s="1"/>
  <c r="G1421" i="1" a="1"/>
  <c r="G1421" i="1" s="1"/>
  <c r="J1418" i="1" a="1"/>
  <c r="J1418" i="1" s="1"/>
  <c r="G1417" i="1" a="1"/>
  <c r="G1417" i="1" s="1"/>
  <c r="H1418" i="1" a="1"/>
  <c r="H1418" i="1"/>
  <c r="F1421" i="1" a="1"/>
  <c r="F1421" i="1" s="1"/>
  <c r="F1420" i="1" a="1"/>
  <c r="F1420" i="1" s="1"/>
  <c r="J1420" i="1" a="1"/>
  <c r="J1420" i="1"/>
  <c r="H1417" i="1" a="1"/>
  <c r="H1417" i="1"/>
  <c r="H1420" i="1" a="1"/>
  <c r="H1420" i="1" s="1"/>
  <c r="F1418" i="1" a="1"/>
  <c r="F1418" i="1" s="1"/>
  <c r="I1416" i="1" a="1"/>
  <c r="I1416" i="1"/>
  <c r="F1417" i="1" a="1"/>
  <c r="F1417" i="1"/>
  <c r="F1422" i="1" a="1"/>
  <c r="F1422" i="1"/>
  <c r="K1419" i="1" a="1"/>
  <c r="K1419" i="1"/>
  <c r="I1417" i="1" a="1"/>
  <c r="I1417" i="1" s="1"/>
  <c r="H1416" i="1" a="1"/>
  <c r="H1416" i="1" s="1"/>
  <c r="I1422" i="1" a="1"/>
  <c r="I1422" i="1"/>
  <c r="J1421" i="1" a="1"/>
  <c r="J1421" i="1" s="1"/>
  <c r="H1422" i="1" a="1"/>
  <c r="H1422" i="1"/>
  <c r="I1420" i="1" a="1"/>
  <c r="I1420" i="1" s="1"/>
  <c r="I1419" i="1" a="1"/>
  <c r="I1419" i="1" s="1"/>
  <c r="J1417" i="1" a="1"/>
  <c r="J1417" i="1" s="1"/>
  <c r="G1422" i="1" a="1"/>
  <c r="G1422" i="1" s="1"/>
  <c r="K1421" i="1" a="1"/>
  <c r="K1421" i="1" s="1"/>
  <c r="J1419" i="1" a="1"/>
  <c r="J1419" i="1"/>
  <c r="H1419" i="1" a="1"/>
  <c r="H1419" i="1" s="1"/>
  <c r="I1418" i="1" a="1"/>
  <c r="I1418" i="1" s="1"/>
  <c r="J1416" i="1" a="1"/>
  <c r="J1416" i="1"/>
  <c r="G1416" i="1" a="1"/>
  <c r="G1416" i="1"/>
  <c r="G1419" i="1" a="1"/>
  <c r="G1419" i="1" s="1"/>
  <c r="K1422" i="1" a="1"/>
  <c r="K1422" i="1"/>
  <c r="F1419" i="1" a="1"/>
  <c r="F1419" i="1"/>
  <c r="K1416" i="1" a="1"/>
  <c r="K1416" i="1"/>
  <c r="H1421" i="1" a="1"/>
  <c r="H1421" i="1"/>
  <c r="J1422" i="1" a="1"/>
  <c r="J1422" i="1"/>
  <c r="G1420" i="1" a="1"/>
  <c r="G1420" i="1" s="1"/>
  <c r="G1428" i="1" a="1"/>
  <c r="G1428" i="1" s="1"/>
  <c r="F1428" i="1" a="1"/>
  <c r="F1428" i="1"/>
  <c r="I1421" i="1" a="1"/>
  <c r="I1421" i="1" s="1"/>
  <c r="G1418" i="1" a="1"/>
  <c r="G1418" i="1" s="1"/>
  <c r="K1417" i="1" a="1"/>
  <c r="K1417" i="1" s="1"/>
  <c r="K1420" i="1" a="1"/>
  <c r="K1420" i="1" s="1"/>
  <c r="H1406" i="1" a="1"/>
  <c r="H1406" i="1" s="1"/>
  <c r="K1414" i="1" a="1"/>
  <c r="K1414" i="1" s="1"/>
  <c r="I1414" i="1" a="1"/>
  <c r="I1414" i="1" s="1"/>
  <c r="F1414" i="1" a="1"/>
  <c r="F1414" i="1"/>
  <c r="H1407" i="1" a="1"/>
  <c r="H1407" i="1" s="1"/>
  <c r="J1406" i="1" a="1"/>
  <c r="J1406" i="1" s="1"/>
  <c r="F1405" i="1" a="1"/>
  <c r="F1405" i="1"/>
  <c r="G1406" i="1" a="1"/>
  <c r="G1406" i="1" s="1"/>
  <c r="K1405" i="1" a="1"/>
  <c r="K1405" i="1"/>
  <c r="J1414" i="1" a="1"/>
  <c r="J1414" i="1"/>
  <c r="H1414" i="1" a="1"/>
  <c r="H1414" i="1"/>
  <c r="G1405" i="1" a="1"/>
  <c r="G1405" i="1"/>
  <c r="G1407" i="1" a="1"/>
  <c r="G1407" i="1"/>
  <c r="I1408" i="1" a="1"/>
  <c r="I1408" i="1"/>
  <c r="I1405" i="1" a="1"/>
  <c r="I1405" i="1" s="1"/>
  <c r="J1407" i="1" a="1"/>
  <c r="J1407" i="1" s="1"/>
  <c r="H1408" i="1" a="1"/>
  <c r="H1408" i="1"/>
  <c r="K1407" i="1" a="1"/>
  <c r="K1407" i="1" s="1"/>
  <c r="J1405" i="1" a="1"/>
  <c r="J1405" i="1"/>
  <c r="I1407" i="1" a="1"/>
  <c r="I1407" i="1" s="1"/>
  <c r="J1403" i="1" a="1"/>
  <c r="J1403" i="1" s="1"/>
  <c r="J1408" i="1" a="1"/>
  <c r="J1408" i="1" s="1"/>
  <c r="I1406" i="1" a="1"/>
  <c r="I1406" i="1" s="1"/>
  <c r="K1406" i="1" a="1"/>
  <c r="K1406" i="1" s="1"/>
  <c r="K1403" i="1" a="1"/>
  <c r="K1403" i="1"/>
  <c r="K1408" i="1" a="1"/>
  <c r="K1408" i="1" s="1"/>
  <c r="G1414" i="1" a="1"/>
  <c r="G1414" i="1" s="1"/>
  <c r="G1408" i="1" a="1"/>
  <c r="G1408" i="1" s="1"/>
  <c r="F1406" i="1" a="1"/>
  <c r="F1406" i="1" s="1"/>
  <c r="F1416" i="1" a="1"/>
  <c r="F1416" i="1"/>
  <c r="K1415" i="1" a="1"/>
  <c r="K1415" i="1"/>
  <c r="H1405" i="1" a="1"/>
  <c r="H1405" i="1"/>
  <c r="J1415" i="1" a="1"/>
  <c r="J1415" i="1"/>
  <c r="I1415" i="1" a="1"/>
  <c r="I1415" i="1"/>
  <c r="H1403" i="1" a="1"/>
  <c r="H1403" i="1"/>
  <c r="H1415" i="1" a="1"/>
  <c r="H1415" i="1" s="1"/>
  <c r="G1415" i="1" a="1"/>
  <c r="G1415" i="1" s="1"/>
  <c r="F1415" i="1" a="1"/>
  <c r="F1415" i="1" s="1"/>
  <c r="G1403" i="1" a="1"/>
  <c r="G1403" i="1"/>
  <c r="I1403" i="1" a="1"/>
  <c r="I1403" i="1"/>
  <c r="F1408" i="1" a="1"/>
  <c r="F1408" i="1" s="1"/>
  <c r="F1407" i="1" a="1"/>
  <c r="F1407" i="1" s="1"/>
  <c r="F1975" i="1" a="1"/>
  <c r="F1975" i="1" s="1"/>
  <c r="I1977" i="1" a="1"/>
  <c r="I1977" i="1" s="1"/>
  <c r="K1976" i="1" a="1"/>
  <c r="K1976" i="1" s="1"/>
  <c r="G1975" i="1" a="1"/>
  <c r="G1975" i="1"/>
  <c r="H1975" i="1" a="1"/>
  <c r="H1975" i="1" s="1"/>
  <c r="H1976" i="1" a="1"/>
  <c r="H1976" i="1" s="1"/>
  <c r="K1977" i="1" a="1"/>
  <c r="K1977" i="1"/>
  <c r="F1977" i="1" a="1"/>
  <c r="F1977" i="1" s="1"/>
  <c r="K1979" i="1" a="1"/>
  <c r="K1979" i="1"/>
  <c r="H1979" i="1" a="1"/>
  <c r="H1979" i="1"/>
  <c r="H1977" i="1" a="1"/>
  <c r="H1977" i="1"/>
  <c r="G1977" i="1" a="1"/>
  <c r="G1977" i="1"/>
  <c r="G1974" i="1" a="1"/>
  <c r="G1974" i="1"/>
  <c r="J1978" i="1" a="1"/>
  <c r="J1978" i="1"/>
  <c r="I1978" i="1" a="1"/>
  <c r="I1978" i="1" s="1"/>
  <c r="I1982" i="1" a="1"/>
  <c r="I1982" i="1" s="1"/>
  <c r="J1981" i="1" a="1"/>
  <c r="J1981" i="1" s="1"/>
  <c r="F1984" i="1" a="1"/>
  <c r="F1984" i="1"/>
  <c r="J1977" i="1" a="1"/>
  <c r="J1977" i="1"/>
  <c r="I1976" i="1" a="1"/>
  <c r="I1976" i="1" s="1"/>
  <c r="F1974" i="1" a="1"/>
  <c r="F1974" i="1" s="1"/>
  <c r="J1976" i="1" a="1"/>
  <c r="J1976" i="1" s="1"/>
  <c r="K1974" i="1" a="1"/>
  <c r="K1974" i="1" s="1"/>
  <c r="H1980" i="1" a="1"/>
  <c r="H1980" i="1" s="1"/>
  <c r="K1983" i="1" a="1"/>
  <c r="K1983" i="1"/>
  <c r="K1981" i="1" a="1"/>
  <c r="K1981" i="1" s="1"/>
  <c r="K1980" i="1" a="1"/>
  <c r="K1980" i="1" s="1"/>
  <c r="F1976" i="1" a="1"/>
  <c r="F1976" i="1"/>
  <c r="I1979" i="1" a="1"/>
  <c r="I1979" i="1" s="1"/>
  <c r="J1983" i="1" a="1"/>
  <c r="J1983" i="1"/>
  <c r="J1982" i="1" a="1"/>
  <c r="J1982" i="1"/>
  <c r="H1982" i="1" a="1"/>
  <c r="H1982" i="1"/>
  <c r="J1974" i="1" a="1"/>
  <c r="J1974" i="1"/>
  <c r="G1982" i="1" a="1"/>
  <c r="G1982" i="1"/>
  <c r="F1981" i="1" a="1"/>
  <c r="F1981" i="1"/>
  <c r="K1978" i="1" a="1"/>
  <c r="K1978" i="1" s="1"/>
  <c r="J1975" i="1" a="1"/>
  <c r="J1975" i="1" s="1"/>
  <c r="H1981" i="1" a="1"/>
  <c r="H1981" i="1" s="1"/>
  <c r="F1978" i="1" a="1"/>
  <c r="F1978" i="1"/>
  <c r="I1981" i="1" a="1"/>
  <c r="I1981" i="1"/>
  <c r="I1983" i="1" a="1"/>
  <c r="I1983" i="1" s="1"/>
  <c r="K1975" i="1" a="1"/>
  <c r="K1975" i="1" s="1"/>
  <c r="I1975" i="1" a="1"/>
  <c r="I1975" i="1" s="1"/>
  <c r="F1979" i="1" a="1"/>
  <c r="F1979" i="1" s="1"/>
  <c r="G1978" i="1" a="1"/>
  <c r="G1978" i="1" s="1"/>
  <c r="I1974" i="1" a="1"/>
  <c r="I1974" i="1" s="1"/>
  <c r="H1974" i="1" a="1"/>
  <c r="H1974" i="1" s="1"/>
  <c r="H1983" i="1" a="1"/>
  <c r="H1983" i="1" s="1"/>
  <c r="K1982" i="1" a="1"/>
  <c r="K1982" i="1"/>
  <c r="G1983" i="1" a="1"/>
  <c r="G1983" i="1" s="1"/>
  <c r="F1983" i="1" a="1"/>
  <c r="F1983" i="1" s="1"/>
  <c r="J1980" i="1" a="1"/>
  <c r="J1980" i="1"/>
  <c r="F1982" i="1" a="1"/>
  <c r="F1982" i="1"/>
  <c r="G1981" i="1" a="1"/>
  <c r="G1981" i="1"/>
  <c r="I1980" i="1" a="1"/>
  <c r="I1980" i="1"/>
  <c r="G1980" i="1" a="1"/>
  <c r="G1980" i="1" s="1"/>
  <c r="G1976" i="1" a="1"/>
  <c r="G1976" i="1"/>
  <c r="H1978" i="1" a="1"/>
  <c r="H1978" i="1" s="1"/>
  <c r="F1980" i="1" a="1"/>
  <c r="F1980" i="1" s="1"/>
  <c r="J1979" i="1" a="1"/>
  <c r="J1979" i="1"/>
  <c r="G1979" i="1" a="1"/>
  <c r="G1979" i="1"/>
  <c r="J1402" i="1" a="1"/>
  <c r="J1402" i="1" s="1"/>
  <c r="I1402" i="1" a="1"/>
  <c r="I1402" i="1" s="1"/>
  <c r="J1400" i="1" a="1"/>
  <c r="J1400" i="1" s="1"/>
  <c r="K1399" i="1" a="1"/>
  <c r="K1399" i="1" s="1"/>
  <c r="H1402" i="1" a="1"/>
  <c r="H1402" i="1" s="1"/>
  <c r="G1402" i="1" a="1"/>
  <c r="G1402" i="1"/>
  <c r="F1402" i="1" a="1"/>
  <c r="F1402" i="1" s="1"/>
  <c r="F1400" i="1" a="1"/>
  <c r="F1400" i="1" s="1"/>
  <c r="K1400" i="1" a="1"/>
  <c r="K1400" i="1"/>
  <c r="H1399" i="1" a="1"/>
  <c r="H1399" i="1" s="1"/>
  <c r="K1401" i="1" a="1"/>
  <c r="K1401" i="1" s="1"/>
  <c r="J1401" i="1" a="1"/>
  <c r="J1401" i="1"/>
  <c r="I1401" i="1" a="1"/>
  <c r="I1401" i="1"/>
  <c r="J1399" i="1" a="1"/>
  <c r="J1399" i="1"/>
  <c r="H1401" i="1" a="1"/>
  <c r="H1401" i="1" s="1"/>
  <c r="G1401" i="1" a="1"/>
  <c r="G1401" i="1" s="1"/>
  <c r="F1401" i="1" a="1"/>
  <c r="F1401" i="1"/>
  <c r="H1400" i="1" a="1"/>
  <c r="H1400" i="1" s="1"/>
  <c r="I1400" i="1" a="1"/>
  <c r="I1400" i="1" s="1"/>
  <c r="G1400" i="1" a="1"/>
  <c r="G1400" i="1"/>
  <c r="I1399" i="1" a="1"/>
  <c r="I1399" i="1"/>
  <c r="G1399" i="1" a="1"/>
  <c r="G1399" i="1" s="1"/>
  <c r="F1399" i="1" a="1"/>
  <c r="F1399" i="1" s="1"/>
  <c r="F1403" i="1" a="1"/>
  <c r="F1403" i="1" s="1"/>
  <c r="K1402" i="1" a="1"/>
  <c r="K1402" i="1" s="1"/>
  <c r="F1369" i="1" a="1"/>
  <c r="F1369" i="1"/>
  <c r="J1363" i="1" a="1"/>
  <c r="J1363" i="1"/>
  <c r="K1368" i="1" a="1"/>
  <c r="K1368" i="1" s="1"/>
  <c r="J1368" i="1" a="1"/>
  <c r="J1368" i="1" s="1"/>
  <c r="H1368" i="1" a="1"/>
  <c r="H1368" i="1"/>
  <c r="F1363" i="1" a="1"/>
  <c r="F1363" i="1" s="1"/>
  <c r="K1363" i="1" a="1"/>
  <c r="K1363" i="1"/>
  <c r="I1367" i="1" a="1"/>
  <c r="I1367" i="1"/>
  <c r="I1364" i="1" a="1"/>
  <c r="I1364" i="1" s="1"/>
  <c r="K1365" i="1" a="1"/>
  <c r="K1365" i="1" s="1"/>
  <c r="G1366" i="1" a="1"/>
  <c r="G1366" i="1" s="1"/>
  <c r="K1369" i="1" a="1"/>
  <c r="K1369" i="1" s="1"/>
  <c r="H1372" i="1" a="1"/>
  <c r="H1372" i="1"/>
  <c r="J1369" i="1" a="1"/>
  <c r="J1369" i="1" s="1"/>
  <c r="G1368" i="1" a="1"/>
  <c r="G1368" i="1" s="1"/>
  <c r="G1365" i="1" a="1"/>
  <c r="G1365" i="1"/>
  <c r="G1367" i="1" a="1"/>
  <c r="G1367" i="1"/>
  <c r="F1368" i="1" a="1"/>
  <c r="F1368" i="1" s="1"/>
  <c r="K1367" i="1" a="1"/>
  <c r="K1367" i="1"/>
  <c r="J1364" i="1" a="1"/>
  <c r="J1364" i="1" s="1"/>
  <c r="J1372" i="1" a="1"/>
  <c r="J1372" i="1"/>
  <c r="H1366" i="1" a="1"/>
  <c r="H1366" i="1"/>
  <c r="J1365" i="1" a="1"/>
  <c r="J1365" i="1"/>
  <c r="G1364" i="1" a="1"/>
  <c r="G1364" i="1" s="1"/>
  <c r="K1372" i="1" a="1"/>
  <c r="K1372" i="1" s="1"/>
  <c r="H1365" i="1" a="1"/>
  <c r="H1365" i="1"/>
  <c r="F1364" i="1" a="1"/>
  <c r="F1364" i="1" s="1"/>
  <c r="I1372" i="1" a="1"/>
  <c r="I1372" i="1" s="1"/>
  <c r="G1372" i="1" a="1"/>
  <c r="G1372" i="1" s="1"/>
  <c r="F1372" i="1" a="1"/>
  <c r="F1372" i="1" s="1"/>
  <c r="F1370" i="1" a="1"/>
  <c r="F1370" i="1" s="1"/>
  <c r="G1369" i="1" a="1"/>
  <c r="G1369" i="1" s="1"/>
  <c r="J1367" i="1" a="1"/>
  <c r="J1367" i="1" s="1"/>
  <c r="K1371" i="1" a="1"/>
  <c r="K1371" i="1"/>
  <c r="J1371" i="1" a="1"/>
  <c r="J1371" i="1" s="1"/>
  <c r="I1366" i="1" a="1"/>
  <c r="I1366" i="1" s="1"/>
  <c r="K1370" i="1" a="1"/>
  <c r="K1370" i="1"/>
  <c r="H1367" i="1" a="1"/>
  <c r="H1367" i="1" s="1"/>
  <c r="I1365" i="1" a="1"/>
  <c r="I1365" i="1"/>
  <c r="H1369" i="1" a="1"/>
  <c r="H1369" i="1" s="1"/>
  <c r="G1363" i="1" a="1"/>
  <c r="G1363" i="1" s="1"/>
  <c r="I1371" i="1" a="1"/>
  <c r="I1371" i="1"/>
  <c r="K1366" i="1" a="1"/>
  <c r="K1366" i="1"/>
  <c r="H1371" i="1" a="1"/>
  <c r="H1371" i="1"/>
  <c r="I1368" i="1" a="1"/>
  <c r="I1368" i="1"/>
  <c r="F1365" i="1" a="1"/>
  <c r="F1365" i="1" s="1"/>
  <c r="G1371" i="1" a="1"/>
  <c r="G1371" i="1"/>
  <c r="H1364" i="1" a="1"/>
  <c r="H1364" i="1"/>
  <c r="G1370" i="1" a="1"/>
  <c r="G1370" i="1" s="1"/>
  <c r="K1364" i="1" a="1"/>
  <c r="K1364" i="1" s="1"/>
  <c r="F1371" i="1" a="1"/>
  <c r="F1371" i="1"/>
  <c r="F1366" i="1" a="1"/>
  <c r="F1366" i="1" s="1"/>
  <c r="I1363" i="1" a="1"/>
  <c r="I1363" i="1" s="1"/>
  <c r="H1363" i="1" a="1"/>
  <c r="H1363" i="1" s="1"/>
  <c r="I1370" i="1" a="1"/>
  <c r="I1370" i="1" s="1"/>
  <c r="J1370" i="1" a="1"/>
  <c r="J1370" i="1" s="1"/>
  <c r="F1367" i="1" a="1"/>
  <c r="F1367" i="1" s="1"/>
  <c r="H1370" i="1" a="1"/>
  <c r="H1370" i="1"/>
  <c r="J1366" i="1" a="1"/>
  <c r="J1366" i="1" s="1"/>
  <c r="I1369" i="1" a="1"/>
  <c r="I1369" i="1" s="1"/>
  <c r="K1355" i="1" a="1"/>
  <c r="K1355" i="1" s="1"/>
  <c r="F1360" i="1" a="1"/>
  <c r="F1360" i="1" s="1"/>
  <c r="I1359" i="1" a="1"/>
  <c r="I1359" i="1"/>
  <c r="K1361" i="1" a="1"/>
  <c r="K1361" i="1"/>
  <c r="I1361" i="1" a="1"/>
  <c r="I1361" i="1"/>
  <c r="I1353" i="1" a="1"/>
  <c r="I1353" i="1" s="1"/>
  <c r="H1358" i="1" a="1"/>
  <c r="H1358" i="1" s="1"/>
  <c r="J1355" i="1" a="1"/>
  <c r="J1355" i="1"/>
  <c r="F1358" i="1" a="1"/>
  <c r="F1358" i="1" s="1"/>
  <c r="J1360" i="1" a="1"/>
  <c r="J1360" i="1" s="1"/>
  <c r="G1360" i="1" a="1"/>
  <c r="G1360" i="1" s="1"/>
  <c r="H1356" i="1" a="1"/>
  <c r="H1356" i="1" s="1"/>
  <c r="G1354" i="1" a="1"/>
  <c r="G1354" i="1"/>
  <c r="K1359" i="1" a="1"/>
  <c r="K1359" i="1" s="1"/>
  <c r="K1358" i="1" a="1"/>
  <c r="K1358" i="1"/>
  <c r="J1358" i="1" a="1"/>
  <c r="J1358" i="1" s="1"/>
  <c r="H1352" i="1" a="1"/>
  <c r="H1352" i="1" s="1"/>
  <c r="J1356" i="1" a="1"/>
  <c r="J1356" i="1"/>
  <c r="J1353" i="1" a="1"/>
  <c r="J1353" i="1" s="1"/>
  <c r="J1357" i="1" a="1"/>
  <c r="J1357" i="1" s="1"/>
  <c r="F1356" i="1" a="1"/>
  <c r="F1356" i="1" s="1"/>
  <c r="F1359" i="1" a="1"/>
  <c r="F1359" i="1" s="1"/>
  <c r="G1357" i="1" a="1"/>
  <c r="G1357" i="1"/>
  <c r="K1353" i="1" a="1"/>
  <c r="K1353" i="1" s="1"/>
  <c r="K1356" i="1" a="1"/>
  <c r="K1356" i="1"/>
  <c r="K1352" i="1" a="1"/>
  <c r="K1352" i="1" s="1"/>
  <c r="J1352" i="1" a="1"/>
  <c r="J1352" i="1" s="1"/>
  <c r="K1362" i="1" a="1"/>
  <c r="K1362" i="1"/>
  <c r="J1362" i="1" a="1"/>
  <c r="J1362" i="1" s="1"/>
  <c r="G1355" i="1" a="1"/>
  <c r="G1355" i="1" s="1"/>
  <c r="I1362" i="1" a="1"/>
  <c r="I1362" i="1" s="1"/>
  <c r="H1362" i="1" a="1"/>
  <c r="H1362" i="1" s="1"/>
  <c r="J1361" i="1" a="1"/>
  <c r="J1361" i="1"/>
  <c r="J1359" i="1" a="1"/>
  <c r="J1359" i="1" s="1"/>
  <c r="F1355" i="1" a="1"/>
  <c r="F1355" i="1"/>
  <c r="I1354" i="1" a="1"/>
  <c r="I1354" i="1" s="1"/>
  <c r="G1361" i="1" a="1"/>
  <c r="G1361" i="1" s="1"/>
  <c r="H1357" i="1" a="1"/>
  <c r="H1357" i="1"/>
  <c r="K1354" i="1" a="1"/>
  <c r="K1354" i="1" s="1"/>
  <c r="G1356" i="1" a="1"/>
  <c r="G1356" i="1" s="1"/>
  <c r="H1353" i="1" a="1"/>
  <c r="H1353" i="1" s="1"/>
  <c r="F1353" i="1" a="1"/>
  <c r="F1353" i="1" s="1"/>
  <c r="H1360" i="1" a="1"/>
  <c r="H1360" i="1"/>
  <c r="I1358" i="1" a="1"/>
  <c r="I1358" i="1" s="1"/>
  <c r="K1357" i="1" a="1"/>
  <c r="K1357" i="1" s="1"/>
  <c r="I1356" i="1" a="1"/>
  <c r="I1356" i="1" s="1"/>
  <c r="F1354" i="1" a="1"/>
  <c r="F1354" i="1" s="1"/>
  <c r="H1355" i="1" a="1"/>
  <c r="H1355" i="1"/>
  <c r="H1361" i="1" a="1"/>
  <c r="H1361" i="1" s="1"/>
  <c r="J1354" i="1" a="1"/>
  <c r="J1354" i="1" s="1"/>
  <c r="H1359" i="1" a="1"/>
  <c r="H1359" i="1" s="1"/>
  <c r="H1354" i="1" a="1"/>
  <c r="H1354" i="1" s="1"/>
  <c r="G1353" i="1" a="1"/>
  <c r="G1353" i="1"/>
  <c r="I1352" i="1" a="1"/>
  <c r="I1352" i="1" s="1"/>
  <c r="G1359" i="1" a="1"/>
  <c r="G1359" i="1" s="1"/>
  <c r="G1358" i="1" a="1"/>
  <c r="G1358" i="1" s="1"/>
  <c r="G1362" i="1" a="1"/>
  <c r="G1362" i="1" s="1"/>
  <c r="F1361" i="1" a="1"/>
  <c r="F1361" i="1"/>
  <c r="I1355" i="1" a="1"/>
  <c r="I1355" i="1" s="1"/>
  <c r="K1360" i="1" a="1"/>
  <c r="K1360" i="1" s="1"/>
  <c r="I1360" i="1" a="1"/>
  <c r="I1360" i="1" s="1"/>
  <c r="I1357" i="1" a="1"/>
  <c r="I1357" i="1" s="1"/>
  <c r="F1357" i="1" a="1"/>
  <c r="F1357" i="1"/>
  <c r="F1362" i="1" a="1"/>
  <c r="F1362" i="1" s="1"/>
  <c r="K1345" i="1" a="1"/>
  <c r="K1345" i="1" s="1"/>
  <c r="I1345" i="1" a="1"/>
  <c r="I1345" i="1" s="1"/>
  <c r="J1351" i="1" a="1"/>
  <c r="J1351" i="1" s="1"/>
  <c r="H1350" i="1" a="1"/>
  <c r="H1350" i="1"/>
  <c r="J1347" i="1" a="1"/>
  <c r="J1347" i="1" s="1"/>
  <c r="G1347" i="1" a="1"/>
  <c r="G1347" i="1" s="1"/>
  <c r="I1344" i="1" a="1"/>
  <c r="I1344" i="1" s="1"/>
  <c r="H1351" i="1" a="1"/>
  <c r="H1351" i="1" s="1"/>
  <c r="G1351" i="1" a="1"/>
  <c r="G1351" i="1"/>
  <c r="I1350" i="1" a="1"/>
  <c r="I1350" i="1" s="1"/>
  <c r="F1348" i="1" a="1"/>
  <c r="F1348" i="1" s="1"/>
  <c r="H1347" i="1" a="1"/>
  <c r="H1347" i="1" s="1"/>
  <c r="J1345" i="1" a="1"/>
  <c r="J1345" i="1" s="1"/>
  <c r="K1344" i="1" a="1"/>
  <c r="K1344" i="1"/>
  <c r="G1344" i="1" a="1"/>
  <c r="G1344" i="1" s="1"/>
  <c r="I1347" i="1" a="1"/>
  <c r="I1347" i="1" s="1"/>
  <c r="G1348" i="1" a="1"/>
  <c r="G1348" i="1" s="1"/>
  <c r="F1345" i="1" a="1"/>
  <c r="F1345" i="1" s="1"/>
  <c r="H1345" i="1" a="1"/>
  <c r="H1345" i="1"/>
  <c r="J1348" i="1" a="1"/>
  <c r="J1348" i="1" s="1"/>
  <c r="J1344" i="1" a="1"/>
  <c r="J1344" i="1" s="1"/>
  <c r="J1338" i="1" a="1"/>
  <c r="J1338" i="1" s="1"/>
  <c r="H1348" i="1" a="1"/>
  <c r="H1348" i="1" s="1"/>
  <c r="K1347" i="1" a="1"/>
  <c r="K1347" i="1"/>
  <c r="J1346" i="1" a="1"/>
  <c r="J1346" i="1" s="1"/>
  <c r="F1346" i="1" a="1"/>
  <c r="F1346" i="1" s="1"/>
  <c r="G1352" i="1" a="1"/>
  <c r="G1352" i="1" s="1"/>
  <c r="F1352" i="1" a="1"/>
  <c r="F1352" i="1" s="1"/>
  <c r="K1351" i="1" a="1"/>
  <c r="K1351" i="1"/>
  <c r="I1351" i="1" a="1"/>
  <c r="I1351" i="1" s="1"/>
  <c r="F1351" i="1" a="1"/>
  <c r="F1351" i="1" s="1"/>
  <c r="G1350" i="1" a="1"/>
  <c r="G1350" i="1" s="1"/>
  <c r="K1348" i="1" a="1"/>
  <c r="K1348" i="1" s="1"/>
  <c r="H1344" i="1" a="1"/>
  <c r="H1344" i="1"/>
  <c r="I1338" i="1" a="1"/>
  <c r="I1338" i="1" s="1"/>
  <c r="I1346" i="1" a="1"/>
  <c r="I1346" i="1" s="1"/>
  <c r="G1345" i="1" a="1"/>
  <c r="G1345" i="1" s="1"/>
  <c r="K1338" i="1" a="1"/>
  <c r="K1338" i="1" s="1"/>
  <c r="J1350" i="1" a="1"/>
  <c r="J1350" i="1"/>
  <c r="K1346" i="1" a="1"/>
  <c r="K1346" i="1" s="1"/>
  <c r="I1348" i="1" a="1"/>
  <c r="I1348" i="1" s="1"/>
  <c r="G1346" i="1" a="1"/>
  <c r="G1346" i="1" s="1"/>
  <c r="F1347" i="1" a="1"/>
  <c r="F1347" i="1" s="1"/>
  <c r="H1346" i="1" a="1"/>
  <c r="H1346" i="1"/>
  <c r="F1344" i="1" a="1"/>
  <c r="F1344" i="1" s="1"/>
  <c r="F1350" i="1" a="1"/>
  <c r="F1350" i="1" s="1"/>
  <c r="K1350" i="1" a="1"/>
  <c r="K1350" i="1" s="1"/>
  <c r="G1331" i="1" a="1"/>
  <c r="G1331" i="1" s="1"/>
  <c r="G1330" i="1" a="1"/>
  <c r="G1330" i="1"/>
  <c r="G1335" i="1" a="1"/>
  <c r="G1335" i="1" s="1"/>
  <c r="H1338" i="1" a="1"/>
  <c r="H1338" i="1" s="1"/>
  <c r="J1334" i="1" a="1"/>
  <c r="J1334" i="1" s="1"/>
  <c r="I1334" i="1" a="1"/>
  <c r="I1334" i="1" s="1"/>
  <c r="F1333" i="1" a="1"/>
  <c r="F1333" i="1" s="1"/>
  <c r="I1332" i="1" a="1"/>
  <c r="I1332" i="1"/>
  <c r="H1336" i="1" a="1"/>
  <c r="H1336" i="1"/>
  <c r="H1335" i="1" a="1"/>
  <c r="H1335" i="1"/>
  <c r="G1338" i="1" a="1"/>
  <c r="G1338" i="1"/>
  <c r="K1336" i="1" a="1"/>
  <c r="K1336" i="1"/>
  <c r="K1335" i="1" a="1"/>
  <c r="K1335" i="1"/>
  <c r="F1338" i="1" a="1"/>
  <c r="F1338" i="1"/>
  <c r="H1332" i="1" a="1"/>
  <c r="H1332" i="1"/>
  <c r="I1333" i="1" a="1"/>
  <c r="I1333" i="1"/>
  <c r="K1337" i="1" a="1"/>
  <c r="K1337" i="1" s="1"/>
  <c r="J1332" i="1" a="1"/>
  <c r="J1332" i="1"/>
  <c r="F1337" i="1" a="1"/>
  <c r="F1337" i="1" s="1"/>
  <c r="J1337" i="1" a="1"/>
  <c r="J1337" i="1" s="1"/>
  <c r="K1333" i="1" a="1"/>
  <c r="K1333" i="1" s="1"/>
  <c r="I1337" i="1" a="1"/>
  <c r="I1337" i="1"/>
  <c r="F1335" i="1" a="1"/>
  <c r="F1335" i="1"/>
  <c r="I1331" i="1" a="1"/>
  <c r="I1331" i="1" s="1"/>
  <c r="H1337" i="1" a="1"/>
  <c r="H1337" i="1" s="1"/>
  <c r="J1333" i="1" a="1"/>
  <c r="J1333" i="1" s="1"/>
  <c r="J1336" i="1" a="1"/>
  <c r="J1336" i="1" s="1"/>
  <c r="H1334" i="1" a="1"/>
  <c r="H1334" i="1"/>
  <c r="G1332" i="1" a="1"/>
  <c r="G1332" i="1"/>
  <c r="F1336" i="1" a="1"/>
  <c r="F1336" i="1"/>
  <c r="G1336" i="1" a="1"/>
  <c r="G1336" i="1"/>
  <c r="F1331" i="1" a="1"/>
  <c r="F1331" i="1"/>
  <c r="J1335" i="1" a="1"/>
  <c r="J1335" i="1"/>
  <c r="J1331" i="1" a="1"/>
  <c r="J1331" i="1"/>
  <c r="G1334" i="1" a="1"/>
  <c r="G1334" i="1"/>
  <c r="H1333" i="1" a="1"/>
  <c r="H1333" i="1"/>
  <c r="K1331" i="1" a="1"/>
  <c r="K1331" i="1" s="1"/>
  <c r="H1331" i="1" a="1"/>
  <c r="H1331" i="1" s="1"/>
  <c r="G1337" i="1" a="1"/>
  <c r="G1337" i="1"/>
  <c r="K1332" i="1" a="1"/>
  <c r="K1332" i="1" s="1"/>
  <c r="K1330" i="1" a="1"/>
  <c r="K1330" i="1" s="1"/>
  <c r="H1330" i="1" a="1"/>
  <c r="H1330" i="1" s="1"/>
  <c r="K1334" i="1" a="1"/>
  <c r="K1334" i="1" s="1"/>
  <c r="I1330" i="1" a="1"/>
  <c r="I1330" i="1"/>
  <c r="F1330" i="1" a="1"/>
  <c r="F1330" i="1" s="1"/>
  <c r="I1335" i="1" a="1"/>
  <c r="I1335" i="1" s="1"/>
  <c r="G1333" i="1" a="1"/>
  <c r="G1333" i="1" s="1"/>
  <c r="I1336" i="1" a="1"/>
  <c r="I1336" i="1"/>
  <c r="F1334" i="1" a="1"/>
  <c r="F1334" i="1"/>
  <c r="F1332" i="1" a="1"/>
  <c r="F1332" i="1"/>
  <c r="J1330" i="1" a="1"/>
  <c r="J1330" i="1"/>
  <c r="J1321" i="1" a="1"/>
  <c r="J1321" i="1"/>
  <c r="J1319" i="1" a="1"/>
  <c r="J1319" i="1"/>
  <c r="K1318" i="1" a="1"/>
  <c r="K1318" i="1"/>
  <c r="G1321" i="1" a="1"/>
  <c r="G1321" i="1"/>
  <c r="G1316" i="1" a="1"/>
  <c r="G1316" i="1"/>
  <c r="F1318" i="1" a="1"/>
  <c r="F1318" i="1" s="1"/>
  <c r="I1316" i="1" a="1"/>
  <c r="I1316" i="1" s="1"/>
  <c r="G1317" i="1" a="1"/>
  <c r="G1317" i="1" s="1"/>
  <c r="F1316" i="1" a="1"/>
  <c r="F1316" i="1"/>
  <c r="J1315" i="1" a="1"/>
  <c r="J1315" i="1" s="1"/>
  <c r="H1317" i="1" a="1"/>
  <c r="H1317" i="1" s="1"/>
  <c r="K1321" i="1" a="1"/>
  <c r="K1321" i="1" s="1"/>
  <c r="H1322" i="1" a="1"/>
  <c r="H1322" i="1" s="1"/>
  <c r="I1323" i="1" a="1"/>
  <c r="I1323" i="1"/>
  <c r="F1319" i="1" a="1"/>
  <c r="F1319" i="1" s="1"/>
  <c r="H1316" i="1" a="1"/>
  <c r="H1316" i="1" s="1"/>
  <c r="K1322" i="1" a="1"/>
  <c r="K1322" i="1"/>
  <c r="G1322" i="1" a="1"/>
  <c r="G1322" i="1"/>
  <c r="H1318" i="1" a="1"/>
  <c r="H1318" i="1"/>
  <c r="K1319" i="1" a="1"/>
  <c r="K1319" i="1"/>
  <c r="G1319" i="1" a="1"/>
  <c r="G1319" i="1"/>
  <c r="I1321" i="1" a="1"/>
  <c r="I1321" i="1"/>
  <c r="F1315" i="1" a="1"/>
  <c r="F1315" i="1"/>
  <c r="K1317" i="1" a="1"/>
  <c r="K1317" i="1"/>
  <c r="I1318" i="1" a="1"/>
  <c r="I1318" i="1"/>
  <c r="G1318" i="1" a="1"/>
  <c r="G1318" i="1" s="1"/>
  <c r="H1321" i="1" a="1"/>
  <c r="H1321" i="1" s="1"/>
  <c r="J1318" i="1" a="1"/>
  <c r="J1318" i="1" s="1"/>
  <c r="K1324" i="1" a="1"/>
  <c r="K1324" i="1" s="1"/>
  <c r="I1317" i="1" a="1"/>
  <c r="I1317" i="1"/>
  <c r="J1324" i="1" a="1"/>
  <c r="J1324" i="1" s="1"/>
  <c r="J1317" i="1" a="1"/>
  <c r="J1317" i="1" s="1"/>
  <c r="I1315" i="1" a="1"/>
  <c r="I1315" i="1" s="1"/>
  <c r="I1324" i="1" a="1"/>
  <c r="I1324" i="1" s="1"/>
  <c r="H1324" i="1" a="1"/>
  <c r="H1324" i="1"/>
  <c r="G1324" i="1" a="1"/>
  <c r="G1324" i="1" s="1"/>
  <c r="H1315" i="1" a="1"/>
  <c r="H1315" i="1"/>
  <c r="F1324" i="1" a="1"/>
  <c r="F1324" i="1"/>
  <c r="J1316" i="1" a="1"/>
  <c r="J1316" i="1"/>
  <c r="K1323" i="1" a="1"/>
  <c r="K1323" i="1" s="1"/>
  <c r="J1322" i="1" a="1"/>
  <c r="J1322" i="1"/>
  <c r="J1323" i="1" a="1"/>
  <c r="J1323" i="1"/>
  <c r="H1323" i="1" a="1"/>
  <c r="H1323" i="1"/>
  <c r="G1323" i="1" a="1"/>
  <c r="G1323" i="1"/>
  <c r="K1315" i="1" a="1"/>
  <c r="K1315" i="1"/>
  <c r="F1321" i="1" a="1"/>
  <c r="F1321" i="1" s="1"/>
  <c r="I1319" i="1" a="1"/>
  <c r="I1319" i="1" s="1"/>
  <c r="G1315" i="1" a="1"/>
  <c r="G1315" i="1" s="1"/>
  <c r="F1323" i="1" a="1"/>
  <c r="F1323" i="1" s="1"/>
  <c r="I1322" i="1" a="1"/>
  <c r="I1322" i="1" s="1"/>
  <c r="F1317" i="1" a="1"/>
  <c r="F1317" i="1"/>
  <c r="F1322" i="1" a="1"/>
  <c r="F1322" i="1" s="1"/>
  <c r="K1316" i="1" a="1"/>
  <c r="K1316" i="1" s="1"/>
  <c r="H1319" i="1" a="1"/>
  <c r="H1319" i="1" s="1"/>
  <c r="G1260" i="1" a="1"/>
  <c r="G1260" i="1" s="1"/>
  <c r="H1259" i="1" a="1"/>
  <c r="H1259" i="1" s="1"/>
  <c r="J1255" i="1" a="1"/>
  <c r="J1255" i="1"/>
  <c r="I1258" i="1" a="1"/>
  <c r="I1258" i="1"/>
  <c r="G1259" i="1" a="1"/>
  <c r="G1259" i="1"/>
  <c r="I1261" i="1" a="1"/>
  <c r="I1261" i="1"/>
  <c r="K1257" i="1" a="1"/>
  <c r="K1257" i="1" s="1"/>
  <c r="I1257" i="1" a="1"/>
  <c r="I1257" i="1"/>
  <c r="G1257" i="1" a="1"/>
  <c r="G1257" i="1"/>
  <c r="J1257" i="1" a="1"/>
  <c r="J1257" i="1"/>
  <c r="I1260" i="1" a="1"/>
  <c r="I1260" i="1"/>
  <c r="H1258" i="1" a="1"/>
  <c r="H1258" i="1" s="1"/>
  <c r="F1260" i="1" a="1"/>
  <c r="F1260" i="1"/>
  <c r="H1253" i="1" a="1"/>
  <c r="H1253" i="1" s="1"/>
  <c r="J1259" i="1" a="1"/>
  <c r="J1259" i="1" s="1"/>
  <c r="F1259" i="1" a="1"/>
  <c r="F1259" i="1" s="1"/>
  <c r="F1261" i="1" a="1"/>
  <c r="F1261" i="1" s="1"/>
  <c r="G1255" i="1" a="1"/>
  <c r="G1255" i="1"/>
  <c r="G1256" i="1" a="1"/>
  <c r="G1256" i="1" s="1"/>
  <c r="H1257" i="1" a="1"/>
  <c r="H1257" i="1" s="1"/>
  <c r="F1257" i="1" a="1"/>
  <c r="F1257" i="1" s="1"/>
  <c r="F1254" i="1" a="1"/>
  <c r="F1254" i="1" s="1"/>
  <c r="J1258" i="1" a="1"/>
  <c r="J1258" i="1"/>
  <c r="K1260" i="1" a="1"/>
  <c r="K1260" i="1"/>
  <c r="G1258" i="1" a="1"/>
  <c r="G1258" i="1"/>
  <c r="H1255" i="1" a="1"/>
  <c r="H1255" i="1"/>
  <c r="I1259" i="1" a="1"/>
  <c r="I1259" i="1"/>
  <c r="F1258" i="1" a="1"/>
  <c r="F1258" i="1" s="1"/>
  <c r="F1256" i="1" a="1"/>
  <c r="F1256" i="1"/>
  <c r="I1254" i="1" a="1"/>
  <c r="I1254" i="1"/>
  <c r="K1255" i="1" a="1"/>
  <c r="K1255" i="1"/>
  <c r="F1255" i="1" a="1"/>
  <c r="F1255" i="1" s="1"/>
  <c r="J1261" i="1" a="1"/>
  <c r="J1261" i="1" s="1"/>
  <c r="K1261" i="1" a="1"/>
  <c r="K1261" i="1"/>
  <c r="H1261" i="1" a="1"/>
  <c r="H1261" i="1" s="1"/>
  <c r="K1258" i="1" a="1"/>
  <c r="K1258" i="1" s="1"/>
  <c r="J1256" i="1" a="1"/>
  <c r="J1256" i="1" s="1"/>
  <c r="K1256" i="1" a="1"/>
  <c r="K1256" i="1" s="1"/>
  <c r="G1261" i="1" a="1"/>
  <c r="G1261" i="1"/>
  <c r="K1254" i="1" a="1"/>
  <c r="K1254" i="1" s="1"/>
  <c r="J1254" i="1" a="1"/>
  <c r="J1254" i="1" s="1"/>
  <c r="J1260" i="1" a="1"/>
  <c r="J1260" i="1" s="1"/>
  <c r="J1253" i="1" a="1"/>
  <c r="J1253" i="1"/>
  <c r="H1260" i="1" a="1"/>
  <c r="H1260" i="1"/>
  <c r="K1259" i="1" a="1"/>
  <c r="K1259" i="1"/>
  <c r="I1256" i="1" a="1"/>
  <c r="I1256" i="1"/>
  <c r="H1256" i="1" a="1"/>
  <c r="H1256" i="1"/>
  <c r="I1255" i="1" a="1"/>
  <c r="I1255" i="1"/>
  <c r="H1254" i="1" a="1"/>
  <c r="H1254" i="1" s="1"/>
  <c r="G1254" i="1" a="1"/>
  <c r="G1254" i="1"/>
  <c r="I1253" i="1" a="1"/>
  <c r="I1253" i="1"/>
  <c r="K1253" i="1" a="1"/>
  <c r="K1253" i="1" s="1"/>
  <c r="I1249" i="1" a="1"/>
  <c r="I1249" i="1" s="1"/>
  <c r="I1246" i="1" a="1"/>
  <c r="I1246" i="1" s="1"/>
  <c r="F1250" i="1" a="1"/>
  <c r="F1250" i="1"/>
  <c r="K1249" i="1" a="1"/>
  <c r="K1249" i="1" s="1"/>
  <c r="J1242" i="1" a="1"/>
  <c r="J1242" i="1" s="1"/>
  <c r="J1249" i="1" a="1"/>
  <c r="J1249" i="1" s="1"/>
  <c r="G1248" i="1" a="1"/>
  <c r="G1248" i="1" s="1"/>
  <c r="J1246" i="1" a="1"/>
  <c r="J1246" i="1"/>
  <c r="G1247" i="1" a="1"/>
  <c r="G1247" i="1" s="1"/>
  <c r="G1243" i="1" a="1"/>
  <c r="G1243" i="1" s="1"/>
  <c r="F1243" i="1" a="1"/>
  <c r="F1243" i="1"/>
  <c r="H1245" i="1" a="1"/>
  <c r="H1245" i="1"/>
  <c r="I1244" i="1" a="1"/>
  <c r="I1244" i="1"/>
  <c r="G1246" i="1" a="1"/>
  <c r="G1246" i="1"/>
  <c r="G1245" i="1" a="1"/>
  <c r="G1245" i="1"/>
  <c r="F1246" i="1" a="1"/>
  <c r="F1246" i="1"/>
  <c r="F1245" i="1" a="1"/>
  <c r="F1245" i="1"/>
  <c r="F1253" i="1" a="1"/>
  <c r="F1253" i="1" s="1"/>
  <c r="H1243" i="1" a="1"/>
  <c r="H1243" i="1"/>
  <c r="G1251" i="1" a="1"/>
  <c r="G1251" i="1" s="1"/>
  <c r="H1247" i="1" a="1"/>
  <c r="H1247" i="1" s="1"/>
  <c r="F1251" i="1" a="1"/>
  <c r="F1251" i="1" s="1"/>
  <c r="I1247" i="1" a="1"/>
  <c r="I1247" i="1" s="1"/>
  <c r="H1244" i="1" a="1"/>
  <c r="H1244" i="1"/>
  <c r="J1244" i="1" a="1"/>
  <c r="J1244" i="1" s="1"/>
  <c r="G1250" i="1" a="1"/>
  <c r="G1250" i="1" s="1"/>
  <c r="H1246" i="1" a="1"/>
  <c r="H1246" i="1" s="1"/>
  <c r="K1244" i="1" a="1"/>
  <c r="K1244" i="1" s="1"/>
  <c r="G1249" i="1" a="1"/>
  <c r="G1249" i="1"/>
  <c r="F1248" i="1" a="1"/>
  <c r="F1248" i="1" s="1"/>
  <c r="K1248" i="1" a="1"/>
  <c r="K1248" i="1"/>
  <c r="F1247" i="1" a="1"/>
  <c r="F1247" i="1"/>
  <c r="H1252" i="1" a="1"/>
  <c r="H1252" i="1"/>
  <c r="G1252" i="1" a="1"/>
  <c r="G1252" i="1"/>
  <c r="F1252" i="1" a="1"/>
  <c r="F1252" i="1"/>
  <c r="K1243" i="1" a="1"/>
  <c r="K1243" i="1"/>
  <c r="I1251" i="1" a="1"/>
  <c r="I1251" i="1"/>
  <c r="J1248" i="1" a="1"/>
  <c r="J1248" i="1"/>
  <c r="K1247" i="1" a="1"/>
  <c r="K1247" i="1" s="1"/>
  <c r="J1243" i="1" a="1"/>
  <c r="J1243" i="1" s="1"/>
  <c r="H1251" i="1" a="1"/>
  <c r="H1251" i="1" s="1"/>
  <c r="F1249" i="1" a="1"/>
  <c r="F1249" i="1" s="1"/>
  <c r="I1243" i="1" a="1"/>
  <c r="I1243" i="1" s="1"/>
  <c r="J1245" i="1" a="1"/>
  <c r="J1245" i="1" s="1"/>
  <c r="I1248" i="1" a="1"/>
  <c r="I1248" i="1"/>
  <c r="J1247" i="1" a="1"/>
  <c r="J1247" i="1" s="1"/>
  <c r="K1245" i="1" a="1"/>
  <c r="K1245" i="1" s="1"/>
  <c r="K1246" i="1" a="1"/>
  <c r="K1246" i="1" s="1"/>
  <c r="K1252" i="1" a="1"/>
  <c r="K1252" i="1" s="1"/>
  <c r="G1244" i="1" a="1"/>
  <c r="G1244" i="1" s="1"/>
  <c r="K1242" i="1" a="1"/>
  <c r="K1242" i="1"/>
  <c r="G1253" i="1" a="1"/>
  <c r="G1253" i="1"/>
  <c r="J1250" i="1" a="1"/>
  <c r="J1250" i="1"/>
  <c r="K1250" i="1" a="1"/>
  <c r="K1250" i="1"/>
  <c r="H1249" i="1" a="1"/>
  <c r="H1249" i="1"/>
  <c r="I1245" i="1" a="1"/>
  <c r="I1245" i="1"/>
  <c r="F1244" i="1" a="1"/>
  <c r="F1244" i="1"/>
  <c r="H1250" i="1" a="1"/>
  <c r="H1250" i="1"/>
  <c r="H1248" i="1" a="1"/>
  <c r="H1248" i="1"/>
  <c r="J1252" i="1" a="1"/>
  <c r="J1252" i="1" s="1"/>
  <c r="I1252" i="1" a="1"/>
  <c r="I1252" i="1"/>
  <c r="K1251" i="1" a="1"/>
  <c r="K1251" i="1" s="1"/>
  <c r="J1251" i="1" a="1"/>
  <c r="J1251" i="1" s="1"/>
  <c r="I1250" i="1" a="1"/>
  <c r="I1250" i="1" s="1"/>
  <c r="K1237" i="1" a="1"/>
  <c r="K1237" i="1" s="1"/>
  <c r="H1234" i="1" a="1"/>
  <c r="H1234" i="1"/>
  <c r="H1238" i="1" a="1"/>
  <c r="H1238" i="1" s="1"/>
  <c r="J1237" i="1" a="1"/>
  <c r="J1237" i="1" s="1"/>
  <c r="F1235" i="1" a="1"/>
  <c r="F1235" i="1" s="1"/>
  <c r="F1232" i="1" a="1"/>
  <c r="F1232" i="1" s="1"/>
  <c r="H1237" i="1" a="1"/>
  <c r="H1237" i="1" s="1"/>
  <c r="G1236" i="1" a="1"/>
  <c r="G1236" i="1"/>
  <c r="F1233" i="1" a="1"/>
  <c r="F1233" i="1"/>
  <c r="J1232" i="1" a="1"/>
  <c r="J1232" i="1"/>
  <c r="G1234" i="1" a="1"/>
  <c r="G1234" i="1"/>
  <c r="H1235" i="1" a="1"/>
  <c r="H1235" i="1"/>
  <c r="K1234" i="1" a="1"/>
  <c r="K1234" i="1"/>
  <c r="K1232" i="1" a="1"/>
  <c r="K1232" i="1"/>
  <c r="I1232" i="1" a="1"/>
  <c r="I1232" i="1"/>
  <c r="G1232" i="1" a="1"/>
  <c r="G1232" i="1" s="1"/>
  <c r="I1242" i="1" a="1"/>
  <c r="I1242" i="1" s="1"/>
  <c r="H1242" i="1" a="1"/>
  <c r="H1242" i="1"/>
  <c r="J1241" i="1" a="1"/>
  <c r="J1241" i="1" s="1"/>
  <c r="K1236" i="1" a="1"/>
  <c r="K1236" i="1" s="1"/>
  <c r="H1232" i="1" a="1"/>
  <c r="H1232" i="1" s="1"/>
  <c r="F1241" i="1" a="1"/>
  <c r="F1241" i="1" s="1"/>
  <c r="I1239" i="1" a="1"/>
  <c r="I1239" i="1"/>
  <c r="K1235" i="1" a="1"/>
  <c r="K1235" i="1" s="1"/>
  <c r="K1233" i="1" a="1"/>
  <c r="K1233" i="1" s="1"/>
  <c r="J1233" i="1" a="1"/>
  <c r="J1233" i="1" s="1"/>
  <c r="G1242" i="1" a="1"/>
  <c r="G1242" i="1"/>
  <c r="F1242" i="1" a="1"/>
  <c r="F1242" i="1" s="1"/>
  <c r="F1237" i="1" a="1"/>
  <c r="F1237" i="1"/>
  <c r="H1236" i="1" a="1"/>
  <c r="H1236" i="1"/>
  <c r="J1234" i="1" a="1"/>
  <c r="J1234" i="1"/>
  <c r="G1233" i="1" a="1"/>
  <c r="G1233" i="1"/>
  <c r="K1241" i="1" a="1"/>
  <c r="K1241" i="1"/>
  <c r="H1241" i="1" a="1"/>
  <c r="H1241" i="1"/>
  <c r="G1240" i="1" a="1"/>
  <c r="G1240" i="1"/>
  <c r="F1236" i="1" a="1"/>
  <c r="F1236" i="1" s="1"/>
  <c r="G1241" i="1" a="1"/>
  <c r="G1241" i="1" s="1"/>
  <c r="I1240" i="1" a="1"/>
  <c r="I1240" i="1" s="1"/>
  <c r="J1239" i="1" a="1"/>
  <c r="J1239" i="1"/>
  <c r="I1233" i="1" a="1"/>
  <c r="I1233" i="1" s="1"/>
  <c r="G1238" i="1" a="1"/>
  <c r="G1238" i="1" s="1"/>
  <c r="I1235" i="1" a="1"/>
  <c r="I1235" i="1" s="1"/>
  <c r="I1234" i="1" a="1"/>
  <c r="I1234" i="1" s="1"/>
  <c r="J1235" i="1" a="1"/>
  <c r="J1235" i="1"/>
  <c r="G1235" i="1" a="1"/>
  <c r="G1235" i="1" s="1"/>
  <c r="F1234" i="1" a="1"/>
  <c r="F1234" i="1" s="1"/>
  <c r="I1241" i="1" a="1"/>
  <c r="I1241" i="1"/>
  <c r="K1240" i="1" a="1"/>
  <c r="K1240" i="1"/>
  <c r="J1240" i="1" a="1"/>
  <c r="J1240" i="1" s="1"/>
  <c r="H1240" i="1" a="1"/>
  <c r="H1240" i="1"/>
  <c r="F1240" i="1" a="1"/>
  <c r="F1240" i="1"/>
  <c r="K1239" i="1" a="1"/>
  <c r="K1239" i="1"/>
  <c r="H1239" i="1" a="1"/>
  <c r="H1239" i="1"/>
  <c r="G1239" i="1" a="1"/>
  <c r="G1239" i="1"/>
  <c r="J1238" i="1" a="1"/>
  <c r="J1238" i="1"/>
  <c r="F1239" i="1" a="1"/>
  <c r="F1239" i="1" s="1"/>
  <c r="K1238" i="1" a="1"/>
  <c r="K1238" i="1" s="1"/>
  <c r="I1237" i="1" a="1"/>
  <c r="I1237" i="1" s="1"/>
  <c r="H1233" i="1" a="1"/>
  <c r="H1233" i="1" s="1"/>
  <c r="G1237" i="1" a="1"/>
  <c r="G1237" i="1"/>
  <c r="I1236" i="1" a="1"/>
  <c r="I1236" i="1" s="1"/>
  <c r="I1238" i="1" a="1"/>
  <c r="I1238" i="1" s="1"/>
  <c r="F1238" i="1" a="1"/>
  <c r="F1238" i="1" s="1"/>
  <c r="J1236" i="1" a="1"/>
  <c r="J1236" i="1" s="1"/>
  <c r="J1224" i="1" a="1"/>
  <c r="J1224" i="1"/>
  <c r="F1229" i="1" a="1"/>
  <c r="F1229" i="1" s="1"/>
  <c r="H1225" i="1" a="1"/>
  <c r="H1225" i="1"/>
  <c r="H1223" i="1" a="1"/>
  <c r="H1223" i="1"/>
  <c r="G1225" i="1" a="1"/>
  <c r="G1225" i="1"/>
  <c r="H1222" i="1" a="1"/>
  <c r="H1222" i="1" s="1"/>
  <c r="H1231" i="1" a="1"/>
  <c r="H1231" i="1"/>
  <c r="G1231" i="1" a="1"/>
  <c r="G1231" i="1"/>
  <c r="F1231" i="1" a="1"/>
  <c r="F1231" i="1"/>
  <c r="F1225" i="1" a="1"/>
  <c r="F1225" i="1"/>
  <c r="F1230" i="1" a="1"/>
  <c r="F1230" i="1"/>
  <c r="K1227" i="1" a="1"/>
  <c r="K1227" i="1" s="1"/>
  <c r="H1227" i="1" a="1"/>
  <c r="H1227" i="1" s="1"/>
  <c r="G1226" i="1" a="1"/>
  <c r="G1226" i="1" s="1"/>
  <c r="G1229" i="1" a="1"/>
  <c r="G1229" i="1" s="1"/>
  <c r="K1222" i="1" a="1"/>
  <c r="K1222" i="1" s="1"/>
  <c r="G1222" i="1" a="1"/>
  <c r="G1222" i="1"/>
  <c r="H1221" i="1" a="1"/>
  <c r="H1221" i="1" s="1"/>
  <c r="G1228" i="1" a="1"/>
  <c r="G1228" i="1" s="1"/>
  <c r="K1229" i="1" a="1"/>
  <c r="K1229" i="1" s="1"/>
  <c r="I1227" i="1" a="1"/>
  <c r="I1227" i="1" s="1"/>
  <c r="F1222" i="1" a="1"/>
  <c r="F1222" i="1" s="1"/>
  <c r="K1230" i="1" a="1"/>
  <c r="K1230" i="1"/>
  <c r="H1230" i="1" a="1"/>
  <c r="H1230" i="1"/>
  <c r="H1228" i="1" a="1"/>
  <c r="H1228" i="1"/>
  <c r="J1227" i="1" a="1"/>
  <c r="J1227" i="1"/>
  <c r="K1224" i="1" a="1"/>
  <c r="K1224" i="1" s="1"/>
  <c r="F1226" i="1" a="1"/>
  <c r="F1226" i="1"/>
  <c r="G1224" i="1" a="1"/>
  <c r="G1224" i="1"/>
  <c r="F1224" i="1" a="1"/>
  <c r="F1224" i="1"/>
  <c r="I1223" i="1" a="1"/>
  <c r="I1223" i="1"/>
  <c r="F1228" i="1" a="1"/>
  <c r="F1228" i="1" s="1"/>
  <c r="J1230" i="1" a="1"/>
  <c r="J1230" i="1"/>
  <c r="I1224" i="1" a="1"/>
  <c r="I1224" i="1" s="1"/>
  <c r="I1229" i="1" a="1"/>
  <c r="I1229" i="1" s="1"/>
  <c r="I1230" i="1" a="1"/>
  <c r="I1230" i="1" s="1"/>
  <c r="G1230" i="1" a="1"/>
  <c r="G1230" i="1" s="1"/>
  <c r="J1229" i="1" a="1"/>
  <c r="J1229" i="1"/>
  <c r="K1228" i="1" a="1"/>
  <c r="K1228" i="1" s="1"/>
  <c r="I1228" i="1" a="1"/>
  <c r="I1228" i="1" s="1"/>
  <c r="G1227" i="1" a="1"/>
  <c r="G1227" i="1" s="1"/>
  <c r="I1221" i="1" a="1"/>
  <c r="I1221" i="1" s="1"/>
  <c r="H1224" i="1" a="1"/>
  <c r="H1224" i="1"/>
  <c r="J1226" i="1" a="1"/>
  <c r="J1226" i="1"/>
  <c r="K1223" i="1" a="1"/>
  <c r="K1223" i="1"/>
  <c r="G1223" i="1" a="1"/>
  <c r="G1223" i="1"/>
  <c r="F1223" i="1" a="1"/>
  <c r="F1223" i="1"/>
  <c r="I1226" i="1" a="1"/>
  <c r="I1226" i="1" s="1"/>
  <c r="J1225" i="1" a="1"/>
  <c r="J1225" i="1"/>
  <c r="J1222" i="1" a="1"/>
  <c r="J1222" i="1"/>
  <c r="K1221" i="1" a="1"/>
  <c r="K1221" i="1"/>
  <c r="J1221" i="1" a="1"/>
  <c r="J1221" i="1" s="1"/>
  <c r="J1228" i="1" a="1"/>
  <c r="J1228" i="1" s="1"/>
  <c r="K1226" i="1" a="1"/>
  <c r="K1226" i="1"/>
  <c r="H1229" i="1" a="1"/>
  <c r="H1229" i="1" s="1"/>
  <c r="K1225" i="1" a="1"/>
  <c r="K1225" i="1" s="1"/>
  <c r="J1223" i="1" a="1"/>
  <c r="J1223" i="1" s="1"/>
  <c r="I1222" i="1" a="1"/>
  <c r="I1222" i="1" s="1"/>
  <c r="I1231" i="1" a="1"/>
  <c r="I1231" i="1"/>
  <c r="K1231" i="1" a="1"/>
  <c r="K1231" i="1" s="1"/>
  <c r="J1231" i="1" a="1"/>
  <c r="J1231" i="1" s="1"/>
  <c r="H1226" i="1" a="1"/>
  <c r="H1226" i="1" s="1"/>
  <c r="F1227" i="1" a="1"/>
  <c r="F1227" i="1"/>
  <c r="I1225" i="1" a="1"/>
  <c r="I1225" i="1"/>
  <c r="J1213" i="1" a="1"/>
  <c r="J1213" i="1" s="1"/>
  <c r="F1216" i="1" a="1"/>
  <c r="F1216" i="1"/>
  <c r="H1219" i="1" a="1"/>
  <c r="H1219" i="1"/>
  <c r="G1215" i="1" a="1"/>
  <c r="G1215" i="1"/>
  <c r="G1219" i="1" a="1"/>
  <c r="G1219" i="1" s="1"/>
  <c r="K1218" i="1" a="1"/>
  <c r="K1218" i="1"/>
  <c r="H1218" i="1" a="1"/>
  <c r="H1218" i="1"/>
  <c r="J1216" i="1" a="1"/>
  <c r="J1216" i="1" s="1"/>
  <c r="J1215" i="1" a="1"/>
  <c r="J1215" i="1" s="1"/>
  <c r="I1215" i="1" a="1"/>
  <c r="I1215" i="1" s="1"/>
  <c r="I1214" i="1" a="1"/>
  <c r="I1214" i="1"/>
  <c r="H1214" i="1" a="1"/>
  <c r="H1214" i="1" s="1"/>
  <c r="I1210" i="1" a="1"/>
  <c r="I1210" i="1" s="1"/>
  <c r="I1217" i="1" a="1"/>
  <c r="I1217" i="1" s="1"/>
  <c r="G1217" i="1" a="1"/>
  <c r="G1217" i="1" s="1"/>
  <c r="K1215" i="1" a="1"/>
  <c r="K1215" i="1"/>
  <c r="F1213" i="1" a="1"/>
  <c r="F1213" i="1" s="1"/>
  <c r="I1212" i="1" a="1"/>
  <c r="I1212" i="1" s="1"/>
  <c r="H1216" i="1" a="1"/>
  <c r="H1216" i="1"/>
  <c r="F1215" i="1" a="1"/>
  <c r="F1215" i="1"/>
  <c r="F1214" i="1" a="1"/>
  <c r="F1214" i="1"/>
  <c r="H1215" i="1" a="1"/>
  <c r="H1215" i="1" s="1"/>
  <c r="K1214" i="1" a="1"/>
  <c r="K1214" i="1"/>
  <c r="J1210" i="1" a="1"/>
  <c r="J1210" i="1"/>
  <c r="J1214" i="1" a="1"/>
  <c r="J1214" i="1"/>
  <c r="K1210" i="1" a="1"/>
  <c r="K1210" i="1" s="1"/>
  <c r="G1214" i="1" a="1"/>
  <c r="G1214" i="1"/>
  <c r="J1218" i="1" a="1"/>
  <c r="J1218" i="1" s="1"/>
  <c r="K1216" i="1" a="1"/>
  <c r="K1216" i="1" s="1"/>
  <c r="F1221" i="1" a="1"/>
  <c r="F1221" i="1" s="1"/>
  <c r="G1213" i="1" a="1"/>
  <c r="G1213" i="1" s="1"/>
  <c r="I1213" i="1" a="1"/>
  <c r="I1213" i="1"/>
  <c r="J1212" i="1" a="1"/>
  <c r="J1212" i="1" s="1"/>
  <c r="G1221" i="1" a="1"/>
  <c r="G1221" i="1" s="1"/>
  <c r="K1220" i="1" a="1"/>
  <c r="K1220" i="1" s="1"/>
  <c r="F1219" i="1" a="1"/>
  <c r="F1219" i="1" s="1"/>
  <c r="G1218" i="1" a="1"/>
  <c r="G1218" i="1"/>
  <c r="F1217" i="1" a="1"/>
  <c r="F1217" i="1" s="1"/>
  <c r="F1218" i="1" a="1"/>
  <c r="F1218" i="1"/>
  <c r="K1217" i="1" a="1"/>
  <c r="K1217" i="1"/>
  <c r="J1217" i="1" a="1"/>
  <c r="J1217" i="1"/>
  <c r="H1212" i="1" a="1"/>
  <c r="H1212" i="1"/>
  <c r="F1212" i="1" a="1"/>
  <c r="F1212" i="1" s="1"/>
  <c r="G1212" i="1" a="1"/>
  <c r="G1212" i="1"/>
  <c r="J1220" i="1" a="1"/>
  <c r="J1220" i="1"/>
  <c r="I1220" i="1" a="1"/>
  <c r="I1220" i="1"/>
  <c r="K1212" i="1" a="1"/>
  <c r="K1212" i="1" s="1"/>
  <c r="H1220" i="1" a="1"/>
  <c r="H1220" i="1" s="1"/>
  <c r="G1220" i="1" a="1"/>
  <c r="G1220" i="1" s="1"/>
  <c r="F1220" i="1" a="1"/>
  <c r="F1220" i="1" s="1"/>
  <c r="H1210" i="1" a="1"/>
  <c r="H1210" i="1" s="1"/>
  <c r="K1219" i="1" a="1"/>
  <c r="K1219" i="1" s="1"/>
  <c r="J1219" i="1" a="1"/>
  <c r="J1219" i="1"/>
  <c r="K1213" i="1" a="1"/>
  <c r="K1213" i="1" s="1"/>
  <c r="H1213" i="1" a="1"/>
  <c r="H1213" i="1" s="1"/>
  <c r="I1219" i="1" a="1"/>
  <c r="I1219" i="1" s="1"/>
  <c r="I1218" i="1" a="1"/>
  <c r="I1218" i="1" s="1"/>
  <c r="H1217" i="1" a="1"/>
  <c r="H1217" i="1" s="1"/>
  <c r="G1216" i="1" a="1"/>
  <c r="G1216" i="1"/>
  <c r="I1216" i="1" a="1"/>
  <c r="I1216" i="1"/>
  <c r="G1207" i="1" a="1"/>
  <c r="G1207" i="1"/>
  <c r="K1199" i="1" a="1"/>
  <c r="K1199" i="1"/>
  <c r="F1199" i="1" a="1"/>
  <c r="F1199" i="1"/>
  <c r="J1197" i="1" a="1"/>
  <c r="J1197" i="1" s="1"/>
  <c r="I1200" i="1" a="1"/>
  <c r="I1200" i="1"/>
  <c r="G1197" i="1" a="1"/>
  <c r="G1197" i="1"/>
  <c r="J1206" i="1" a="1"/>
  <c r="J1206" i="1"/>
  <c r="I1206" i="1" a="1"/>
  <c r="I1206" i="1" s="1"/>
  <c r="H1200" i="1" a="1"/>
  <c r="H1200" i="1"/>
  <c r="H1206" i="1" a="1"/>
  <c r="H1206" i="1" s="1"/>
  <c r="F1206" i="1" a="1"/>
  <c r="F1206" i="1" s="1"/>
  <c r="H1197" i="1" a="1"/>
  <c r="H1197" i="1" s="1"/>
  <c r="K1200" i="1" a="1"/>
  <c r="K1200" i="1" s="1"/>
  <c r="K1197" i="1" a="1"/>
  <c r="K1197" i="1"/>
  <c r="F1200" i="1" a="1"/>
  <c r="F1200" i="1" s="1"/>
  <c r="H1199" i="1" a="1"/>
  <c r="H1199" i="1" s="1"/>
  <c r="J1198" i="1" a="1"/>
  <c r="J1198" i="1" s="1"/>
  <c r="G1199" i="1" a="1"/>
  <c r="G1199" i="1" s="1"/>
  <c r="G1210" i="1" a="1"/>
  <c r="G1210" i="1" s="1"/>
  <c r="J1200" i="1" a="1"/>
  <c r="J1200" i="1"/>
  <c r="K1209" i="1" a="1"/>
  <c r="K1209" i="1"/>
  <c r="J1208" i="1" a="1"/>
  <c r="J1208" i="1"/>
  <c r="I1209" i="1" a="1"/>
  <c r="I1209" i="1"/>
  <c r="H1209" i="1" a="1"/>
  <c r="H1209" i="1"/>
  <c r="K1208" i="1" a="1"/>
  <c r="K1208" i="1"/>
  <c r="H1198" i="1" a="1"/>
  <c r="H1198" i="1"/>
  <c r="F1208" i="1" a="1"/>
  <c r="F1208" i="1"/>
  <c r="F1207" i="1" a="1"/>
  <c r="F1207" i="1" s="1"/>
  <c r="G1209" i="1" a="1"/>
  <c r="G1209" i="1" s="1"/>
  <c r="F1197" i="1" a="1"/>
  <c r="F1197" i="1"/>
  <c r="I1208" i="1" a="1"/>
  <c r="I1208" i="1" s="1"/>
  <c r="I1199" i="1" a="1"/>
  <c r="I1199" i="1" s="1"/>
  <c r="G1206" i="1" a="1"/>
  <c r="G1206" i="1" s="1"/>
  <c r="F1198" i="1" a="1"/>
  <c r="F1198" i="1" s="1"/>
  <c r="G1200" i="1" a="1"/>
  <c r="G1200" i="1"/>
  <c r="J1199" i="1" a="1"/>
  <c r="J1199" i="1" s="1"/>
  <c r="K1198" i="1" a="1"/>
  <c r="K1198" i="1" s="1"/>
  <c r="K1196" i="1" a="1"/>
  <c r="K1196" i="1" s="1"/>
  <c r="I1198" i="1" a="1"/>
  <c r="I1198" i="1"/>
  <c r="F1210" i="1" a="1"/>
  <c r="F1210" i="1" s="1"/>
  <c r="K1206" i="1" a="1"/>
  <c r="K1206" i="1"/>
  <c r="F1209" i="1" a="1"/>
  <c r="F1209" i="1"/>
  <c r="J1209" i="1" a="1"/>
  <c r="J1209" i="1"/>
  <c r="G1198" i="1" a="1"/>
  <c r="G1198" i="1"/>
  <c r="H1208" i="1" a="1"/>
  <c r="H1208" i="1"/>
  <c r="J1207" i="1" a="1"/>
  <c r="J1207" i="1"/>
  <c r="I1197" i="1" a="1"/>
  <c r="I1197" i="1"/>
  <c r="G1208" i="1" a="1"/>
  <c r="G1208" i="1" s="1"/>
  <c r="K1207" i="1" a="1"/>
  <c r="K1207" i="1" s="1"/>
  <c r="I1207" i="1" a="1"/>
  <c r="I1207" i="1" s="1"/>
  <c r="H1207" i="1" a="1"/>
  <c r="H1207" i="1"/>
  <c r="I1195" i="1" a="1"/>
  <c r="I1195" i="1" s="1"/>
  <c r="K1188" i="1" a="1"/>
  <c r="K1188" i="1" s="1"/>
  <c r="H1193" i="1" a="1"/>
  <c r="H1193" i="1" s="1"/>
  <c r="J1187" i="1" a="1"/>
  <c r="J1187" i="1" s="1"/>
  <c r="J1194" i="1" a="1"/>
  <c r="J1194" i="1"/>
  <c r="G1192" i="1" a="1"/>
  <c r="G1192" i="1" s="1"/>
  <c r="G1194" i="1" a="1"/>
  <c r="G1194" i="1" s="1"/>
  <c r="K1186" i="1" a="1"/>
  <c r="K1186" i="1"/>
  <c r="J1193" i="1" a="1"/>
  <c r="J1193" i="1"/>
  <c r="F1189" i="1" a="1"/>
  <c r="F1189" i="1" s="1"/>
  <c r="I1189" i="1" a="1"/>
  <c r="I1189" i="1"/>
  <c r="H1195" i="1" a="1"/>
  <c r="H1195" i="1"/>
  <c r="G1195" i="1" a="1"/>
  <c r="G1195" i="1"/>
  <c r="J1190" i="1" a="1"/>
  <c r="J1190" i="1"/>
  <c r="I1187" i="1" a="1"/>
  <c r="I1187" i="1"/>
  <c r="F1193" i="1" a="1"/>
  <c r="F1193" i="1"/>
  <c r="F1195" i="1" a="1"/>
  <c r="F1195" i="1" s="1"/>
  <c r="I1194" i="1" a="1"/>
  <c r="I1194" i="1" s="1"/>
  <c r="F1194" i="1" a="1"/>
  <c r="F1194" i="1" s="1"/>
  <c r="K1187" i="1" a="1"/>
  <c r="K1187" i="1" s="1"/>
  <c r="J1192" i="1" a="1"/>
  <c r="J1192" i="1"/>
  <c r="I1191" i="1" a="1"/>
  <c r="I1191" i="1" s="1"/>
  <c r="F1191" i="1" a="1"/>
  <c r="F1191" i="1" s="1"/>
  <c r="H1190" i="1" a="1"/>
  <c r="H1190" i="1" s="1"/>
  <c r="H1189" i="1" a="1"/>
  <c r="H1189" i="1" s="1"/>
  <c r="G1188" i="1" a="1"/>
  <c r="G1188" i="1"/>
  <c r="H1186" i="1" a="1"/>
  <c r="H1186" i="1" s="1"/>
  <c r="H1194" i="1" a="1"/>
  <c r="H1194" i="1"/>
  <c r="F1188" i="1" a="1"/>
  <c r="F1188" i="1"/>
  <c r="F1190" i="1" a="1"/>
  <c r="F1190" i="1"/>
  <c r="H1188" i="1" a="1"/>
  <c r="H1188" i="1" s="1"/>
  <c r="K1191" i="1" a="1"/>
  <c r="K1191" i="1"/>
  <c r="J1191" i="1" a="1"/>
  <c r="J1191" i="1"/>
  <c r="G1191" i="1" a="1"/>
  <c r="G1191" i="1"/>
  <c r="H1187" i="1" a="1"/>
  <c r="H1187" i="1"/>
  <c r="H1191" i="1" a="1"/>
  <c r="H1191" i="1"/>
  <c r="K1190" i="1" a="1"/>
  <c r="K1190" i="1" s="1"/>
  <c r="G1190" i="1" a="1"/>
  <c r="G1190" i="1" s="1"/>
  <c r="I1186" i="1" a="1"/>
  <c r="I1186" i="1" s="1"/>
  <c r="F1187" i="1" a="1"/>
  <c r="F1187" i="1" s="1"/>
  <c r="G1189" i="1" a="1"/>
  <c r="G1189" i="1" s="1"/>
  <c r="K1192" i="1" a="1"/>
  <c r="K1192" i="1"/>
  <c r="G1186" i="1" a="1"/>
  <c r="G1186" i="1" s="1"/>
  <c r="K1193" i="1" a="1"/>
  <c r="K1193" i="1" s="1"/>
  <c r="K1189" i="1" a="1"/>
  <c r="K1189" i="1" s="1"/>
  <c r="I1190" i="1" a="1"/>
  <c r="I1190" i="1" s="1"/>
  <c r="J1196" i="1" a="1"/>
  <c r="J1196" i="1" s="1"/>
  <c r="I1196" i="1" a="1"/>
  <c r="I1196" i="1"/>
  <c r="H1196" i="1" a="1"/>
  <c r="H1196" i="1"/>
  <c r="I1193" i="1" a="1"/>
  <c r="I1193" i="1"/>
  <c r="I1188" i="1" a="1"/>
  <c r="I1188" i="1"/>
  <c r="G1187" i="1" a="1"/>
  <c r="G1187" i="1" s="1"/>
  <c r="G1196" i="1" a="1"/>
  <c r="G1196" i="1"/>
  <c r="H1192" i="1" a="1"/>
  <c r="H1192" i="1"/>
  <c r="F1196" i="1" a="1"/>
  <c r="F1196" i="1"/>
  <c r="K1195" i="1" a="1"/>
  <c r="K1195" i="1"/>
  <c r="J1188" i="1" a="1"/>
  <c r="J1188" i="1" s="1"/>
  <c r="J1186" i="1" a="1"/>
  <c r="J1186" i="1"/>
  <c r="K1194" i="1" a="1"/>
  <c r="K1194" i="1" s="1"/>
  <c r="F1192" i="1" a="1"/>
  <c r="F1192" i="1" s="1"/>
  <c r="G1193" i="1" a="1"/>
  <c r="G1193" i="1" s="1"/>
  <c r="J1189" i="1" a="1"/>
  <c r="J1189" i="1" s="1"/>
  <c r="J1195" i="1" a="1"/>
  <c r="J1195" i="1"/>
  <c r="I1192" i="1" a="1"/>
  <c r="I1192" i="1" s="1"/>
  <c r="F1184" i="1" a="1"/>
  <c r="F1184" i="1" s="1"/>
  <c r="J1176" i="1" a="1"/>
  <c r="J1176" i="1" s="1"/>
  <c r="J1183" i="1" a="1"/>
  <c r="J1183" i="1" s="1"/>
  <c r="I1183" i="1" a="1"/>
  <c r="I1183" i="1"/>
  <c r="I1174" i="1" a="1"/>
  <c r="I1174" i="1"/>
  <c r="K1176" i="1" a="1"/>
  <c r="K1176" i="1"/>
  <c r="K1173" i="1" a="1"/>
  <c r="K1173" i="1"/>
  <c r="H1176" i="1" a="1"/>
  <c r="H1176" i="1"/>
  <c r="K1177" i="1" a="1"/>
  <c r="K1177" i="1" s="1"/>
  <c r="G1175" i="1" a="1"/>
  <c r="G1175" i="1"/>
  <c r="K1174" i="1" a="1"/>
  <c r="K1174" i="1"/>
  <c r="F1174" i="1" a="1"/>
  <c r="F1174" i="1"/>
  <c r="F1176" i="1" a="1"/>
  <c r="F1176" i="1" s="1"/>
  <c r="G1174" i="1" a="1"/>
  <c r="G1174" i="1" s="1"/>
  <c r="F1185" i="1" a="1"/>
  <c r="F1185" i="1"/>
  <c r="F1186" i="1" a="1"/>
  <c r="F1186" i="1" s="1"/>
  <c r="G1173" i="1" a="1"/>
  <c r="G1173" i="1" s="1"/>
  <c r="H1183" i="1" a="1"/>
  <c r="H1183" i="1" s="1"/>
  <c r="G1176" i="1" a="1"/>
  <c r="G1176" i="1" s="1"/>
  <c r="I1175" i="1" a="1"/>
  <c r="I1175" i="1"/>
  <c r="H1177" i="1" a="1"/>
  <c r="H1177" i="1" s="1"/>
  <c r="K1185" i="1" a="1"/>
  <c r="K1185" i="1" s="1"/>
  <c r="J1185" i="1" a="1"/>
  <c r="J1185" i="1" s="1"/>
  <c r="I1185" i="1" a="1"/>
  <c r="I1185" i="1"/>
  <c r="H1185" i="1" a="1"/>
  <c r="H1185" i="1"/>
  <c r="K1184" i="1" a="1"/>
  <c r="K1184" i="1"/>
  <c r="J1184" i="1" a="1"/>
  <c r="J1184" i="1"/>
  <c r="G1183" i="1" a="1"/>
  <c r="G1183" i="1"/>
  <c r="K1183" i="1" a="1"/>
  <c r="K1183" i="1"/>
  <c r="G1177" i="1" a="1"/>
  <c r="G1177" i="1" s="1"/>
  <c r="J1177" i="1" a="1"/>
  <c r="J1177" i="1"/>
  <c r="J1175" i="1" a="1"/>
  <c r="J1175" i="1"/>
  <c r="H1175" i="1" a="1"/>
  <c r="H1175" i="1" s="1"/>
  <c r="F1175" i="1" a="1"/>
  <c r="F1175" i="1" s="1"/>
  <c r="H1174" i="1" a="1"/>
  <c r="H1174" i="1" s="1"/>
  <c r="H1173" i="1" a="1"/>
  <c r="H1173" i="1"/>
  <c r="F1177" i="1" a="1"/>
  <c r="F1177" i="1" s="1"/>
  <c r="G1185" i="1" a="1"/>
  <c r="G1185" i="1" s="1"/>
  <c r="I1184" i="1" a="1"/>
  <c r="I1184" i="1" s="1"/>
  <c r="K1175" i="1" a="1"/>
  <c r="K1175" i="1" s="1"/>
  <c r="I1177" i="1" a="1"/>
  <c r="I1177" i="1"/>
  <c r="H1184" i="1" a="1"/>
  <c r="H1184" i="1" s="1"/>
  <c r="I1176" i="1" a="1"/>
  <c r="I1176" i="1" s="1"/>
  <c r="G1184" i="1" a="1"/>
  <c r="G1184" i="1"/>
  <c r="F1183" i="1" a="1"/>
  <c r="F1183" i="1"/>
  <c r="J1174" i="1" a="1"/>
  <c r="J1174" i="1"/>
  <c r="J1173" i="1" a="1"/>
  <c r="J1173" i="1"/>
  <c r="I1173" i="1" a="1"/>
  <c r="I1173" i="1"/>
  <c r="F1173" i="1" a="1"/>
  <c r="F1173" i="1"/>
  <c r="K1172" i="1" a="1"/>
  <c r="K1172" i="1"/>
  <c r="K1167" i="1" a="1"/>
  <c r="K1167" i="1" s="1"/>
  <c r="H1164" i="1" a="1"/>
  <c r="H1164" i="1"/>
  <c r="J1169" i="1" a="1"/>
  <c r="J1169" i="1" s="1"/>
  <c r="J1172" i="1" a="1"/>
  <c r="J1172" i="1" s="1"/>
  <c r="H1172" i="1" a="1"/>
  <c r="H1172" i="1" s="1"/>
  <c r="J1164" i="1" a="1"/>
  <c r="J1164" i="1" s="1"/>
  <c r="G1172" i="1" a="1"/>
  <c r="G1172" i="1"/>
  <c r="G1164" i="1" a="1"/>
  <c r="G1164" i="1" s="1"/>
  <c r="F1172" i="1" a="1"/>
  <c r="F1172" i="1" s="1"/>
  <c r="I1171" i="1" a="1"/>
  <c r="I1171" i="1" s="1"/>
  <c r="I1170" i="1" a="1"/>
  <c r="I1170" i="1" s="1"/>
  <c r="I1162" i="1" a="1"/>
  <c r="I1162" i="1"/>
  <c r="H1171" i="1" a="1"/>
  <c r="H1171" i="1" s="1"/>
  <c r="H1169" i="1" a="1"/>
  <c r="H1169" i="1"/>
  <c r="H1168" i="1" a="1"/>
  <c r="H1168" i="1"/>
  <c r="G1168" i="1" a="1"/>
  <c r="G1168" i="1"/>
  <c r="G1167" i="1" a="1"/>
  <c r="G1167" i="1"/>
  <c r="K1170" i="1" a="1"/>
  <c r="K1170" i="1"/>
  <c r="H1167" i="1" a="1"/>
  <c r="H1167" i="1"/>
  <c r="K1165" i="1" a="1"/>
  <c r="K1165" i="1"/>
  <c r="F1165" i="1" a="1"/>
  <c r="F1165" i="1"/>
  <c r="J1163" i="1" a="1"/>
  <c r="J1163" i="1" s="1"/>
  <c r="G1170" i="1" a="1"/>
  <c r="G1170" i="1" s="1"/>
  <c r="G1169" i="1" a="1"/>
  <c r="G1169" i="1" s="1"/>
  <c r="K1168" i="1" a="1"/>
  <c r="K1168" i="1" s="1"/>
  <c r="J1167" i="1" a="1"/>
  <c r="J1167" i="1" s="1"/>
  <c r="K1166" i="1" a="1"/>
  <c r="K1166" i="1" s="1"/>
  <c r="J1166" i="1" a="1"/>
  <c r="J1166" i="1"/>
  <c r="I1165" i="1" a="1"/>
  <c r="I1165" i="1" s="1"/>
  <c r="H1163" i="1" a="1"/>
  <c r="H1163" i="1" s="1"/>
  <c r="J1165" i="1" a="1"/>
  <c r="J1165" i="1" s="1"/>
  <c r="F1163" i="1" a="1"/>
  <c r="F1163" i="1" s="1"/>
  <c r="I1166" i="1" a="1"/>
  <c r="I1166" i="1" s="1"/>
  <c r="I1164" i="1" a="1"/>
  <c r="I1164" i="1"/>
  <c r="K1169" i="1" a="1"/>
  <c r="K1169" i="1"/>
  <c r="G1165" i="1" a="1"/>
  <c r="G1165" i="1"/>
  <c r="F1168" i="1" a="1"/>
  <c r="F1168" i="1"/>
  <c r="I1172" i="1" a="1"/>
  <c r="I1172" i="1"/>
  <c r="K1171" i="1" a="1"/>
  <c r="K1171" i="1"/>
  <c r="J1171" i="1" a="1"/>
  <c r="J1171" i="1"/>
  <c r="G1171" i="1" a="1"/>
  <c r="G1171" i="1"/>
  <c r="J1168" i="1" a="1"/>
  <c r="J1168" i="1"/>
  <c r="K1163" i="1" a="1"/>
  <c r="K1163" i="1" s="1"/>
  <c r="F1171" i="1" a="1"/>
  <c r="F1171" i="1"/>
  <c r="F1169" i="1" a="1"/>
  <c r="F1169" i="1" s="1"/>
  <c r="I1163" i="1" a="1"/>
  <c r="I1163" i="1" s="1"/>
  <c r="J1170" i="1" a="1"/>
  <c r="J1170" i="1" s="1"/>
  <c r="G1163" i="1" a="1"/>
  <c r="G1163" i="1" s="1"/>
  <c r="H1166" i="1" a="1"/>
  <c r="H1166" i="1"/>
  <c r="H1170" i="1" a="1"/>
  <c r="H1170" i="1" s="1"/>
  <c r="I1168" i="1" a="1"/>
  <c r="I1168" i="1" s="1"/>
  <c r="F1166" i="1" a="1"/>
  <c r="F1166" i="1" s="1"/>
  <c r="F1167" i="1" a="1"/>
  <c r="F1167" i="1" s="1"/>
  <c r="G1166" i="1" a="1"/>
  <c r="G1166" i="1" s="1"/>
  <c r="H1165" i="1" a="1"/>
  <c r="H1165" i="1"/>
  <c r="K1164" i="1" a="1"/>
  <c r="K1164" i="1"/>
  <c r="F1170" i="1" a="1"/>
  <c r="F1170" i="1"/>
  <c r="I1169" i="1" a="1"/>
  <c r="I1169" i="1"/>
  <c r="I1167" i="1" a="1"/>
  <c r="I1167" i="1"/>
  <c r="F1164" i="1" a="1"/>
  <c r="F1164" i="1"/>
  <c r="K1162" i="1" a="1"/>
  <c r="K1162" i="1"/>
  <c r="J1162" i="1" a="1"/>
  <c r="J1162" i="1"/>
  <c r="H1161" i="1" a="1"/>
  <c r="H1161" i="1" s="1"/>
  <c r="G1161" i="1" a="1"/>
  <c r="G1161" i="1" s="1"/>
  <c r="J1148" i="1" a="1"/>
  <c r="J1148" i="1"/>
  <c r="G1160" i="1" a="1"/>
  <c r="G1160" i="1" s="1"/>
  <c r="J1152" i="1" a="1"/>
  <c r="J1152" i="1" s="1"/>
  <c r="I1154" i="1" a="1"/>
  <c r="I1154" i="1" s="1"/>
  <c r="G1153" i="1" a="1"/>
  <c r="G1153" i="1" s="1"/>
  <c r="F1161" i="1" a="1"/>
  <c r="F1161" i="1"/>
  <c r="F1153" i="1" a="1"/>
  <c r="F1153" i="1" s="1"/>
  <c r="J1160" i="1" a="1"/>
  <c r="J1160" i="1" s="1"/>
  <c r="I1160" i="1" a="1"/>
  <c r="I1160" i="1" s="1"/>
  <c r="H1154" i="1" a="1"/>
  <c r="H1154" i="1"/>
  <c r="K1154" i="1" a="1"/>
  <c r="K1154" i="1" s="1"/>
  <c r="H1152" i="1" a="1"/>
  <c r="H1152" i="1"/>
  <c r="F1152" i="1" a="1"/>
  <c r="F1152" i="1"/>
  <c r="I1148" i="1" a="1"/>
  <c r="I1148" i="1"/>
  <c r="K1153" i="1" a="1"/>
  <c r="K1153" i="1"/>
  <c r="G1152" i="1" a="1"/>
  <c r="G1152" i="1"/>
  <c r="F1148" i="1" a="1"/>
  <c r="F1148" i="1"/>
  <c r="K1160" i="1" a="1"/>
  <c r="K1160" i="1"/>
  <c r="G1148" i="1" a="1"/>
  <c r="G1148" i="1" s="1"/>
  <c r="G1154" i="1" a="1"/>
  <c r="G1154" i="1" s="1"/>
  <c r="K1151" i="1" a="1"/>
  <c r="K1151" i="1" s="1"/>
  <c r="G1151" i="1" a="1"/>
  <c r="G1151" i="1"/>
  <c r="I1147" i="1" a="1"/>
  <c r="I1147" i="1" s="1"/>
  <c r="K1148" i="1" a="1"/>
  <c r="K1148" i="1" s="1"/>
  <c r="I1153" i="1" a="1"/>
  <c r="I1153" i="1" s="1"/>
  <c r="H1162" i="1" a="1"/>
  <c r="H1162" i="1" s="1"/>
  <c r="H1147" i="1" a="1"/>
  <c r="H1147" i="1"/>
  <c r="G1162" i="1" a="1"/>
  <c r="G1162" i="1" s="1"/>
  <c r="F1162" i="1" a="1"/>
  <c r="F1162" i="1" s="1"/>
  <c r="I1152" i="1" a="1"/>
  <c r="I1152" i="1"/>
  <c r="I1161" i="1" a="1"/>
  <c r="I1161" i="1"/>
  <c r="H1153" i="1" a="1"/>
  <c r="H1153" i="1" s="1"/>
  <c r="J1147" i="1" a="1"/>
  <c r="J1147" i="1"/>
  <c r="K1152" i="1" a="1"/>
  <c r="K1152" i="1"/>
  <c r="F1160" i="1" a="1"/>
  <c r="F1160" i="1"/>
  <c r="J1153" i="1" a="1"/>
  <c r="J1153" i="1"/>
  <c r="H1148" i="1" a="1"/>
  <c r="H1148" i="1"/>
  <c r="H1151" i="1" a="1"/>
  <c r="H1151" i="1"/>
  <c r="K1147" i="1" a="1"/>
  <c r="K1147" i="1" s="1"/>
  <c r="J1154" i="1" a="1"/>
  <c r="J1154" i="1" s="1"/>
  <c r="F1151" i="1" a="1"/>
  <c r="F1151" i="1" s="1"/>
  <c r="H1160" i="1" a="1"/>
  <c r="H1160" i="1" s="1"/>
  <c r="K1161" i="1" a="1"/>
  <c r="K1161" i="1"/>
  <c r="F1154" i="1" a="1"/>
  <c r="F1154" i="1" s="1"/>
  <c r="J1161" i="1" a="1"/>
  <c r="J1161" i="1" s="1"/>
  <c r="J1151" i="1" a="1"/>
  <c r="J1151" i="1" s="1"/>
  <c r="I1151" i="1" a="1"/>
  <c r="I1151" i="1" s="1"/>
  <c r="F1143" i="1" a="1"/>
  <c r="F1143" i="1"/>
  <c r="J1142" i="1" a="1"/>
  <c r="J1142" i="1" s="1"/>
  <c r="K1138" i="1" a="1"/>
  <c r="K1138" i="1"/>
  <c r="I1146" i="1" a="1"/>
  <c r="I1146" i="1"/>
  <c r="H1146" i="1" a="1"/>
  <c r="H1146" i="1"/>
  <c r="G1146" i="1" a="1"/>
  <c r="G1146" i="1" s="1"/>
  <c r="F1146" i="1" a="1"/>
  <c r="F1146" i="1"/>
  <c r="K1145" i="1" a="1"/>
  <c r="K1145" i="1"/>
  <c r="H1141" i="1" a="1"/>
  <c r="H1141" i="1"/>
  <c r="J1145" i="1" a="1"/>
  <c r="J1145" i="1"/>
  <c r="J1139" i="1" a="1"/>
  <c r="J1139" i="1"/>
  <c r="I1140" i="1" a="1"/>
  <c r="I1140" i="1" s="1"/>
  <c r="G1139" i="1" a="1"/>
  <c r="G1139" i="1" s="1"/>
  <c r="J1138" i="1" a="1"/>
  <c r="J1138" i="1" s="1"/>
  <c r="I1141" i="1" a="1"/>
  <c r="I1141" i="1" s="1"/>
  <c r="J1143" i="1" a="1"/>
  <c r="J1143" i="1" s="1"/>
  <c r="I1138" i="1" a="1"/>
  <c r="I1138" i="1"/>
  <c r="I1145" i="1" a="1"/>
  <c r="I1145" i="1" s="1"/>
  <c r="H1145" i="1" a="1"/>
  <c r="H1145" i="1" s="1"/>
  <c r="H1143" i="1" a="1"/>
  <c r="H1143" i="1" s="1"/>
  <c r="F1137" i="1" a="1"/>
  <c r="F1137" i="1" s="1"/>
  <c r="G1145" i="1" a="1"/>
  <c r="G1145" i="1" s="1"/>
  <c r="G1142" i="1" a="1"/>
  <c r="G1142" i="1"/>
  <c r="F1145" i="1" a="1"/>
  <c r="F1145" i="1"/>
  <c r="K1144" i="1" a="1"/>
  <c r="K1144" i="1"/>
  <c r="K1143" i="1" a="1"/>
  <c r="K1143" i="1"/>
  <c r="I1139" i="1" a="1"/>
  <c r="I1139" i="1" s="1"/>
  <c r="I1143" i="1" a="1"/>
  <c r="I1143" i="1"/>
  <c r="F1142" i="1" a="1"/>
  <c r="F1142" i="1"/>
  <c r="H1138" i="1" a="1"/>
  <c r="H1138" i="1"/>
  <c r="H1137" i="1" a="1"/>
  <c r="H1137" i="1"/>
  <c r="I1144" i="1" a="1"/>
  <c r="I1144" i="1" s="1"/>
  <c r="H1142" i="1" a="1"/>
  <c r="H1142" i="1"/>
  <c r="F1139" i="1" a="1"/>
  <c r="F1139" i="1" s="1"/>
  <c r="K1137" i="1" a="1"/>
  <c r="K1137" i="1" s="1"/>
  <c r="J1141" i="1" a="1"/>
  <c r="J1141" i="1" s="1"/>
  <c r="G1141" i="1" a="1"/>
  <c r="G1141" i="1" s="1"/>
  <c r="G1143" i="1" a="1"/>
  <c r="G1143" i="1"/>
  <c r="H1144" i="1" a="1"/>
  <c r="H1144" i="1" s="1"/>
  <c r="F1138" i="1" a="1"/>
  <c r="F1138" i="1" s="1"/>
  <c r="K1142" i="1" a="1"/>
  <c r="K1142" i="1" s="1"/>
  <c r="I1142" i="1" a="1"/>
  <c r="I1142" i="1" s="1"/>
  <c r="J1137" i="1" a="1"/>
  <c r="J1137" i="1"/>
  <c r="K1140" i="1" a="1"/>
  <c r="K1140" i="1"/>
  <c r="G1138" i="1" a="1"/>
  <c r="G1138" i="1"/>
  <c r="K1139" i="1" a="1"/>
  <c r="K1139" i="1"/>
  <c r="G1147" i="1" a="1"/>
  <c r="G1147" i="1"/>
  <c r="K1141" i="1" a="1"/>
  <c r="K1141" i="1" s="1"/>
  <c r="F1147" i="1" a="1"/>
  <c r="F1147" i="1"/>
  <c r="F1141" i="1" a="1"/>
  <c r="F1141" i="1"/>
  <c r="G1137" i="1" a="1"/>
  <c r="G1137" i="1"/>
  <c r="K1146" i="1" a="1"/>
  <c r="K1146" i="1" s="1"/>
  <c r="J1146" i="1" a="1"/>
  <c r="J1146" i="1" s="1"/>
  <c r="J1144" i="1" a="1"/>
  <c r="J1144" i="1"/>
  <c r="I1137" i="1" a="1"/>
  <c r="I1137" i="1" s="1"/>
  <c r="J1140" i="1" a="1"/>
  <c r="J1140" i="1" s="1"/>
  <c r="G1144" i="1" a="1"/>
  <c r="G1144" i="1" s="1"/>
  <c r="F1144" i="1" a="1"/>
  <c r="F1144" i="1" s="1"/>
  <c r="H1140" i="1" a="1"/>
  <c r="H1140" i="1"/>
  <c r="F1140" i="1" a="1"/>
  <c r="F1140" i="1" s="1"/>
  <c r="H1139" i="1" a="1"/>
  <c r="H1139" i="1" s="1"/>
  <c r="G1140" i="1" a="1"/>
  <c r="G1140" i="1" s="1"/>
  <c r="K1136" i="1" a="1"/>
  <c r="K1136" i="1"/>
  <c r="J1136" i="1" a="1"/>
  <c r="J1136" i="1"/>
  <c r="I1136" i="1" a="1"/>
  <c r="I1136" i="1"/>
  <c r="H1136" i="1" a="1"/>
  <c r="H1136" i="1"/>
  <c r="G1136" i="1" a="1"/>
  <c r="G1136" i="1"/>
  <c r="F1136" i="1" a="1"/>
  <c r="F1136" i="1"/>
  <c r="I1105" i="1"/>
  <c r="H1105" i="1"/>
  <c r="G1105" i="1"/>
  <c r="K1104" i="1"/>
  <c r="I1104" i="1"/>
  <c r="H1104" i="1"/>
  <c r="G1104" i="1"/>
  <c r="J1102" i="1"/>
  <c r="I1102" i="1"/>
  <c r="G1102" i="1"/>
  <c r="F1102" i="1"/>
  <c r="I1100" i="1"/>
  <c r="G1100" i="1"/>
  <c r="K1098" i="1"/>
  <c r="I1098" i="1"/>
  <c r="F1098" i="1"/>
  <c r="K1092" i="1"/>
  <c r="H1092" i="1"/>
  <c r="F1092" i="1"/>
  <c r="J1088" i="1"/>
  <c r="I1088" i="1"/>
  <c r="H1088" i="1"/>
  <c r="G1088" i="1"/>
  <c r="K1087" i="1"/>
  <c r="I1087" i="1"/>
  <c r="H1087" i="1"/>
  <c r="J1085" i="1"/>
  <c r="I1085" i="1"/>
  <c r="G1085" i="1"/>
  <c r="K1083" i="1"/>
  <c r="I1083" i="1"/>
  <c r="H1083" i="1"/>
  <c r="K1082" i="1"/>
  <c r="I1082" i="1"/>
  <c r="H1082" i="1"/>
  <c r="G1082" i="1"/>
  <c r="F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F1079" i="1"/>
  <c r="F1105" i="1" s="1"/>
  <c r="K1078" i="1"/>
  <c r="J1078" i="1"/>
  <c r="J1104" i="1" s="1"/>
  <c r="I1078" i="1"/>
  <c r="H1078" i="1"/>
  <c r="G1078" i="1"/>
  <c r="F1078" i="1"/>
  <c r="F1104" i="1" s="1"/>
  <c r="K1076" i="1"/>
  <c r="K1102" i="1" s="1"/>
  <c r="J1076" i="1"/>
  <c r="I1076" i="1"/>
  <c r="H1076" i="1"/>
  <c r="H1102" i="1" s="1"/>
  <c r="G1076" i="1"/>
  <c r="F1076" i="1"/>
  <c r="K1074" i="1"/>
  <c r="K1100" i="1" s="1"/>
  <c r="J1074" i="1"/>
  <c r="J1100" i="1" s="1"/>
  <c r="I1074" i="1"/>
  <c r="H1074" i="1"/>
  <c r="H1100" i="1" s="1"/>
  <c r="G1074" i="1"/>
  <c r="F1074" i="1"/>
  <c r="F1100" i="1" s="1"/>
  <c r="K1072" i="1"/>
  <c r="J1072" i="1"/>
  <c r="J1098" i="1" s="1"/>
  <c r="I1072" i="1"/>
  <c r="H1072" i="1"/>
  <c r="H1098" i="1" s="1"/>
  <c r="G1072" i="1"/>
  <c r="G1098" i="1" s="1"/>
  <c r="F1072" i="1"/>
  <c r="K1066" i="1"/>
  <c r="J1066" i="1"/>
  <c r="J1092" i="1" s="1"/>
  <c r="I1066" i="1"/>
  <c r="I1092" i="1" s="1"/>
  <c r="H1066" i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H1062" i="1"/>
  <c r="G1062" i="1"/>
  <c r="F1062" i="1"/>
  <c r="F1088" i="1" s="1"/>
  <c r="K1061" i="1"/>
  <c r="J1061" i="1"/>
  <c r="J1087" i="1" s="1"/>
  <c r="I1061" i="1"/>
  <c r="H1061" i="1"/>
  <c r="G1061" i="1"/>
  <c r="G1087" i="1" s="1"/>
  <c r="F1061" i="1"/>
  <c r="F1087" i="1" s="1"/>
  <c r="K1059" i="1"/>
  <c r="K1085" i="1" s="1"/>
  <c r="J1059" i="1"/>
  <c r="I1059" i="1"/>
  <c r="H1059" i="1"/>
  <c r="H1085" i="1" s="1"/>
  <c r="G1059" i="1"/>
  <c r="F1059" i="1"/>
  <c r="F1085" i="1" s="1"/>
  <c r="K1057" i="1"/>
  <c r="J1057" i="1"/>
  <c r="J1083" i="1" s="1"/>
  <c r="I1057" i="1"/>
  <c r="H1057" i="1"/>
  <c r="G1057" i="1"/>
  <c r="G1083" i="1" s="1"/>
  <c r="F1057" i="1"/>
  <c r="F1083" i="1" s="1"/>
  <c r="K1056" i="1"/>
  <c r="J1056" i="1"/>
  <c r="J1082" i="1" s="1"/>
  <c r="I1056" i="1"/>
  <c r="H1056" i="1"/>
  <c r="G1056" i="1"/>
  <c r="F1056" i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H902" i="1"/>
  <c r="G902" i="1"/>
  <c r="G899" i="1" s="1"/>
  <c r="F902" i="1"/>
  <c r="I899" i="1"/>
  <c r="H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1891" i="1" a="1"/>
  <c r="J1891" i="1" s="1"/>
  <c r="K1893" i="1" a="1"/>
  <c r="K1893" i="1" s="1"/>
  <c r="J1888" i="1" a="1"/>
  <c r="J1888" i="1" s="1"/>
  <c r="G1893" i="1" a="1"/>
  <c r="G1893" i="1" s="1"/>
  <c r="G1888" i="1" a="1"/>
  <c r="G1888" i="1"/>
  <c r="J1895" i="1" a="1"/>
  <c r="J1895" i="1" s="1"/>
  <c r="G1897" i="1" a="1"/>
  <c r="G1897" i="1" s="1"/>
  <c r="H1888" i="1" a="1"/>
  <c r="H1888" i="1" s="1"/>
  <c r="K1897" i="1" a="1"/>
  <c r="K1897" i="1" s="1"/>
  <c r="F1891" i="1" a="1"/>
  <c r="F1891" i="1" s="1"/>
  <c r="I1888" i="1" a="1"/>
  <c r="I1888" i="1"/>
  <c r="F1887" i="1" a="1"/>
  <c r="F1887" i="1"/>
  <c r="J1897" i="1" a="1"/>
  <c r="J1897" i="1"/>
  <c r="I1897" i="1" a="1"/>
  <c r="I1897" i="1"/>
  <c r="I1893" i="1" a="1"/>
  <c r="I1893" i="1"/>
  <c r="I1889" i="1" a="1"/>
  <c r="I1889" i="1"/>
  <c r="J1887" i="1" a="1"/>
  <c r="J1887" i="1"/>
  <c r="K1887" i="1" a="1"/>
  <c r="K1887" i="1"/>
  <c r="G1889" i="1" a="1"/>
  <c r="G1889" i="1" s="1"/>
  <c r="H1897" i="1" a="1"/>
  <c r="H1897" i="1" s="1"/>
  <c r="I1887" i="1" a="1"/>
  <c r="I1887" i="1"/>
  <c r="H1891" i="1" a="1"/>
  <c r="H1891" i="1" s="1"/>
  <c r="I1891" i="1" a="1"/>
  <c r="I1891" i="1" s="1"/>
  <c r="K1895" i="1" a="1"/>
  <c r="K1895" i="1" s="1"/>
  <c r="K1891" i="1" a="1"/>
  <c r="K1891" i="1" s="1"/>
  <c r="G1895" i="1" a="1"/>
  <c r="G1895" i="1"/>
  <c r="H1893" i="1" a="1"/>
  <c r="H1893" i="1" s="1"/>
  <c r="H1889" i="1" a="1"/>
  <c r="H1889" i="1" s="1"/>
  <c r="G1887" i="1" a="1"/>
  <c r="G1887" i="1" s="1"/>
  <c r="F1897" i="1" a="1"/>
  <c r="F1897" i="1"/>
  <c r="I1895" i="1" a="1"/>
  <c r="I1895" i="1" s="1"/>
  <c r="G1891" i="1" a="1"/>
  <c r="G1891" i="1"/>
  <c r="K1888" i="1" a="1"/>
  <c r="K1888" i="1"/>
  <c r="F1888" i="1" a="1"/>
  <c r="F1888" i="1"/>
  <c r="F1895" i="1" a="1"/>
  <c r="F1895" i="1"/>
  <c r="J1893" i="1" a="1"/>
  <c r="J1893" i="1"/>
  <c r="F1893" i="1" a="1"/>
  <c r="F1893" i="1"/>
  <c r="F1889" i="1" a="1"/>
  <c r="F1889" i="1"/>
  <c r="H1887" i="1" a="1"/>
  <c r="H1887" i="1" s="1"/>
  <c r="J1889" i="1" a="1"/>
  <c r="J1889" i="1" s="1"/>
  <c r="K1889" i="1" a="1"/>
  <c r="K1889" i="1" s="1"/>
  <c r="H1895" i="1" a="1"/>
  <c r="H1895" i="1"/>
  <c r="K1871" i="1" a="1"/>
  <c r="K1871" i="1" s="1"/>
  <c r="G1871" i="1" a="1"/>
  <c r="G1871" i="1" s="1"/>
  <c r="G1885" i="1" a="1"/>
  <c r="G1885" i="1" s="1"/>
  <c r="H1882" i="1" a="1"/>
  <c r="H1882" i="1" s="1"/>
  <c r="F1882" i="1" a="1"/>
  <c r="F1882" i="1"/>
  <c r="I1879" i="1" a="1"/>
  <c r="I1879" i="1" s="1"/>
  <c r="J1875" i="1" a="1"/>
  <c r="J1875" i="1" s="1"/>
  <c r="K1875" i="1" a="1"/>
  <c r="K1875" i="1"/>
  <c r="H1873" i="1" a="1"/>
  <c r="H1873" i="1"/>
  <c r="J1877" i="1" a="1"/>
  <c r="J1877" i="1" s="1"/>
  <c r="F1871" i="1" a="1"/>
  <c r="F1871" i="1"/>
  <c r="H1877" i="1" a="1"/>
  <c r="H1877" i="1"/>
  <c r="I1885" i="1" a="1"/>
  <c r="I1885" i="1"/>
  <c r="H1885" i="1" a="1"/>
  <c r="H1885" i="1"/>
  <c r="J1883" i="1" a="1"/>
  <c r="J1883" i="1" s="1"/>
  <c r="H1883" i="1" a="1"/>
  <c r="H1883" i="1"/>
  <c r="K1882" i="1" a="1"/>
  <c r="K1882" i="1" s="1"/>
  <c r="G1873" i="1" a="1"/>
  <c r="G1873" i="1" s="1"/>
  <c r="J1882" i="1" a="1"/>
  <c r="J1882" i="1" s="1"/>
  <c r="H1879" i="1" a="1"/>
  <c r="H1879" i="1" s="1"/>
  <c r="I1873" i="1" a="1"/>
  <c r="I1873" i="1"/>
  <c r="H1871" i="1" a="1"/>
  <c r="H1871" i="1" s="1"/>
  <c r="F1877" i="1" a="1"/>
  <c r="F1877" i="1" s="1"/>
  <c r="K1879" i="1" a="1"/>
  <c r="K1879" i="1" s="1"/>
  <c r="F1875" i="1" a="1"/>
  <c r="F1875" i="1" s="1"/>
  <c r="K1873" i="1" a="1"/>
  <c r="K1873" i="1"/>
  <c r="I1875" i="1" a="1"/>
  <c r="I1875" i="1" s="1"/>
  <c r="F1873" i="1" a="1"/>
  <c r="F1873" i="1"/>
  <c r="F1883" i="1" a="1"/>
  <c r="F1883" i="1"/>
  <c r="G1875" i="1" a="1"/>
  <c r="G1875" i="1"/>
  <c r="K1877" i="1" a="1"/>
  <c r="K1877" i="1" s="1"/>
  <c r="G1879" i="1" a="1"/>
  <c r="G1879" i="1"/>
  <c r="I1877" i="1" a="1"/>
  <c r="I1877" i="1"/>
  <c r="F1885" i="1" a="1"/>
  <c r="F1885" i="1"/>
  <c r="J1885" i="1" a="1"/>
  <c r="J1885" i="1"/>
  <c r="K1885" i="1" a="1"/>
  <c r="K1885" i="1"/>
  <c r="I1883" i="1" a="1"/>
  <c r="I1883" i="1" s="1"/>
  <c r="H1875" i="1" a="1"/>
  <c r="H1875" i="1" s="1"/>
  <c r="K1883" i="1" a="1"/>
  <c r="K1883" i="1" s="1"/>
  <c r="G1883" i="1" a="1"/>
  <c r="G1883" i="1" s="1"/>
  <c r="G1882" i="1" a="1"/>
  <c r="G1882" i="1" s="1"/>
  <c r="J1879" i="1" a="1"/>
  <c r="J1879" i="1"/>
  <c r="G1877" i="1" a="1"/>
  <c r="G1877" i="1" s="1"/>
  <c r="J1871" i="1" a="1"/>
  <c r="J1871" i="1" s="1"/>
  <c r="I1871" i="1" a="1"/>
  <c r="I1871" i="1" s="1"/>
  <c r="J1873" i="1" a="1"/>
  <c r="J1873" i="1" s="1"/>
  <c r="F1879" i="1" a="1"/>
  <c r="F1879" i="1" s="1"/>
  <c r="I1882" i="1" a="1"/>
  <c r="I1882" i="1"/>
  <c r="F1859" i="1" a="1"/>
  <c r="F1859" i="1"/>
  <c r="I1856" i="1" a="1"/>
  <c r="I1856" i="1"/>
  <c r="G1856" i="1" a="1"/>
  <c r="G1856" i="1"/>
  <c r="I1859" i="1" a="1"/>
  <c r="I1859" i="1" s="1"/>
  <c r="G1867" i="1" a="1"/>
  <c r="G1867" i="1"/>
  <c r="K1866" i="1" a="1"/>
  <c r="K1866" i="1"/>
  <c r="G1859" i="1" a="1"/>
  <c r="G1859" i="1"/>
  <c r="H1856" i="1" a="1"/>
  <c r="H1856" i="1"/>
  <c r="J1867" i="1" a="1"/>
  <c r="J1867" i="1" s="1"/>
  <c r="H1867" i="1" a="1"/>
  <c r="H1867" i="1"/>
  <c r="F1867" i="1" a="1"/>
  <c r="F1867" i="1" s="1"/>
  <c r="J1866" i="1" a="1"/>
  <c r="J1866" i="1" s="1"/>
  <c r="K1865" i="1" a="1"/>
  <c r="K1865" i="1" s="1"/>
  <c r="F1860" i="1" a="1"/>
  <c r="F1860" i="1" s="1"/>
  <c r="F1865" i="1" a="1"/>
  <c r="F1865" i="1"/>
  <c r="I1865" i="1" a="1"/>
  <c r="I1865" i="1" s="1"/>
  <c r="F1863" i="1" a="1"/>
  <c r="F1863" i="1" s="1"/>
  <c r="G1860" i="1" a="1"/>
  <c r="G1860" i="1" s="1"/>
  <c r="K1859" i="1" a="1"/>
  <c r="K1859" i="1" s="1"/>
  <c r="J1865" i="1" a="1"/>
  <c r="J1865" i="1" s="1"/>
  <c r="G1863" i="1" a="1"/>
  <c r="G1863" i="1"/>
  <c r="F1862" i="1" a="1"/>
  <c r="F1862" i="1"/>
  <c r="H1859" i="1" a="1"/>
  <c r="H1859" i="1"/>
  <c r="H1865" i="1" a="1"/>
  <c r="H1865" i="1"/>
  <c r="I1862" i="1" a="1"/>
  <c r="I1862" i="1" s="1"/>
  <c r="H1869" i="1" a="1"/>
  <c r="H1869" i="1"/>
  <c r="F1866" i="1" a="1"/>
  <c r="F1866" i="1"/>
  <c r="K1862" i="1" a="1"/>
  <c r="K1862" i="1"/>
  <c r="H1862" i="1" a="1"/>
  <c r="H1862" i="1" s="1"/>
  <c r="H1863" i="1" a="1"/>
  <c r="H1863" i="1" s="1"/>
  <c r="I1863" i="1" a="1"/>
  <c r="I1863" i="1"/>
  <c r="J1859" i="1" a="1"/>
  <c r="J1859" i="1" s="1"/>
  <c r="G1866" i="1" a="1"/>
  <c r="G1866" i="1" s="1"/>
  <c r="K1860" i="1" a="1"/>
  <c r="K1860" i="1" s="1"/>
  <c r="K1856" i="1" a="1"/>
  <c r="K1856" i="1" s="1"/>
  <c r="I1867" i="1" a="1"/>
  <c r="I1867" i="1"/>
  <c r="G1869" i="1" a="1"/>
  <c r="G1869" i="1" s="1"/>
  <c r="I1866" i="1" a="1"/>
  <c r="I1866" i="1" s="1"/>
  <c r="G1865" i="1" a="1"/>
  <c r="G1865" i="1" s="1"/>
  <c r="G1862" i="1" a="1"/>
  <c r="G1862" i="1"/>
  <c r="J1856" i="1" a="1"/>
  <c r="J1856" i="1" s="1"/>
  <c r="K1869" i="1" a="1"/>
  <c r="K1869" i="1"/>
  <c r="J1862" i="1" a="1"/>
  <c r="J1862" i="1"/>
  <c r="H1866" i="1" a="1"/>
  <c r="H1866" i="1"/>
  <c r="K1863" i="1" a="1"/>
  <c r="K1863" i="1"/>
  <c r="J1860" i="1" a="1"/>
  <c r="J1860" i="1" s="1"/>
  <c r="J1869" i="1" a="1"/>
  <c r="J1869" i="1"/>
  <c r="I1869" i="1" a="1"/>
  <c r="I1869" i="1"/>
  <c r="F1869" i="1" a="1"/>
  <c r="F1869" i="1" s="1"/>
  <c r="F1856" i="1" a="1"/>
  <c r="F1856" i="1" s="1"/>
  <c r="H1860" i="1" a="1"/>
  <c r="H1860" i="1" s="1"/>
  <c r="K1867" i="1" a="1"/>
  <c r="K1867" i="1"/>
  <c r="J1863" i="1" a="1"/>
  <c r="J1863" i="1" s="1"/>
  <c r="I1860" i="1" a="1"/>
  <c r="I1860" i="1" s="1"/>
  <c r="K1854" i="1" a="1"/>
  <c r="K1854" i="1" s="1"/>
  <c r="J1852" i="1" a="1"/>
  <c r="J1852" i="1" s="1"/>
  <c r="J1850" i="1" a="1"/>
  <c r="J1850" i="1"/>
  <c r="F1850" i="1" a="1"/>
  <c r="F1850" i="1" s="1"/>
  <c r="J1846" i="1" a="1"/>
  <c r="J1846" i="1" s="1"/>
  <c r="I1852" i="1" a="1"/>
  <c r="I1852" i="1"/>
  <c r="F1852" i="1" a="1"/>
  <c r="F1852" i="1"/>
  <c r="J1848" i="1" a="1"/>
  <c r="J1848" i="1" s="1"/>
  <c r="H1846" i="1" a="1"/>
  <c r="H1846" i="1"/>
  <c r="G1854" i="1" a="1"/>
  <c r="G1854" i="1"/>
  <c r="G1850" i="1" a="1"/>
  <c r="G1850" i="1"/>
  <c r="H1848" i="1" a="1"/>
  <c r="H1848" i="1"/>
  <c r="I1848" i="1" a="1"/>
  <c r="I1848" i="1" s="1"/>
  <c r="I1846" i="1" a="1"/>
  <c r="I1846" i="1"/>
  <c r="F1846" i="1" a="1"/>
  <c r="F1846" i="1" s="1"/>
  <c r="G1846" i="1" a="1"/>
  <c r="G1846" i="1" s="1"/>
  <c r="H1852" i="1" a="1"/>
  <c r="H1852" i="1" s="1"/>
  <c r="G1852" i="1" a="1"/>
  <c r="G1852" i="1" s="1"/>
  <c r="I1850" i="1" a="1"/>
  <c r="I1850" i="1"/>
  <c r="K1850" i="1" a="1"/>
  <c r="K1850" i="1" s="1"/>
  <c r="G1848" i="1" a="1"/>
  <c r="G1848" i="1" s="1"/>
  <c r="K1846" i="1" a="1"/>
  <c r="K1846" i="1" s="1"/>
  <c r="I1854" i="1" a="1"/>
  <c r="I1854" i="1" s="1"/>
  <c r="J1854" i="1" a="1"/>
  <c r="J1854" i="1"/>
  <c r="K1852" i="1" a="1"/>
  <c r="K1852" i="1" s="1"/>
  <c r="H1850" i="1" a="1"/>
  <c r="H1850" i="1"/>
  <c r="K1848" i="1" a="1"/>
  <c r="K1848" i="1"/>
  <c r="H1854" i="1" a="1"/>
  <c r="H1854" i="1"/>
  <c r="F1854" i="1" a="1"/>
  <c r="F1854" i="1" s="1"/>
  <c r="F1848" i="1" a="1"/>
  <c r="F1848" i="1"/>
  <c r="G1837" i="1" a="1"/>
  <c r="G1837" i="1"/>
  <c r="F1840" i="1" a="1"/>
  <c r="F1840" i="1"/>
  <c r="K1843" i="1" a="1"/>
  <c r="K1843" i="1"/>
  <c r="J1843" i="1" a="1"/>
  <c r="J1843" i="1" s="1"/>
  <c r="I1843" i="1" a="1"/>
  <c r="I1843" i="1" s="1"/>
  <c r="K1837" i="1" a="1"/>
  <c r="K1837" i="1" s="1"/>
  <c r="H1843" i="1" a="1"/>
  <c r="H1843" i="1" s="1"/>
  <c r="G1843" i="1" a="1"/>
  <c r="G1843" i="1" s="1"/>
  <c r="J1840" i="1" a="1"/>
  <c r="J1840" i="1" s="1"/>
  <c r="F1843" i="1" a="1"/>
  <c r="F1843" i="1"/>
  <c r="J1835" i="1" a="1"/>
  <c r="J1835" i="1" s="1"/>
  <c r="I1841" i="1" a="1"/>
  <c r="I1841" i="1" s="1"/>
  <c r="K1841" i="1" a="1"/>
  <c r="K1841" i="1" s="1"/>
  <c r="J1841" i="1" a="1"/>
  <c r="J1841" i="1" s="1"/>
  <c r="F1837" i="1" a="1"/>
  <c r="F1837" i="1" s="1"/>
  <c r="I1835" i="1" a="1"/>
  <c r="I1835" i="1"/>
  <c r="H1841" i="1" a="1"/>
  <c r="H1841" i="1"/>
  <c r="G1841" i="1" a="1"/>
  <c r="G1841" i="1"/>
  <c r="F1841" i="1" a="1"/>
  <c r="F1841" i="1"/>
  <c r="I1837" i="1" a="1"/>
  <c r="I1837" i="1" s="1"/>
  <c r="K1840" i="1" a="1"/>
  <c r="K1840" i="1"/>
  <c r="H1840" i="1" a="1"/>
  <c r="H1840" i="1"/>
  <c r="G1840" i="1" a="1"/>
  <c r="G1840" i="1"/>
  <c r="K1835" i="1" a="1"/>
  <c r="K1835" i="1"/>
  <c r="K1845" i="1" a="1"/>
  <c r="K1845" i="1" s="1"/>
  <c r="J1845" i="1" a="1"/>
  <c r="J1845" i="1"/>
  <c r="I1845" i="1" a="1"/>
  <c r="I1845" i="1" s="1"/>
  <c r="H1845" i="1" a="1"/>
  <c r="H1845" i="1" s="1"/>
  <c r="H1837" i="1" a="1"/>
  <c r="H1837" i="1" s="1"/>
  <c r="F1845" i="1" a="1"/>
  <c r="F1845" i="1" s="1"/>
  <c r="J1837" i="1" a="1"/>
  <c r="J1837" i="1"/>
  <c r="I1840" i="1" a="1"/>
  <c r="I1840" i="1" s="1"/>
  <c r="G1845" i="1" a="1"/>
  <c r="G1845" i="1" s="1"/>
  <c r="K1831" i="1" a="1"/>
  <c r="K1831" i="1" s="1"/>
  <c r="I1831" i="1" a="1"/>
  <c r="I1831" i="1" s="1"/>
  <c r="H1822" i="1" a="1"/>
  <c r="H1822" i="1" s="1"/>
  <c r="G1824" i="1" a="1"/>
  <c r="G1824" i="1"/>
  <c r="I1827" i="1" a="1"/>
  <c r="I1827" i="1"/>
  <c r="J1822" i="1" a="1"/>
  <c r="J1822" i="1"/>
  <c r="F1827" i="1" a="1"/>
  <c r="F1827" i="1"/>
  <c r="J1826" i="1" a="1"/>
  <c r="J1826" i="1" s="1"/>
  <c r="I1829" i="1" a="1"/>
  <c r="I1829" i="1"/>
  <c r="I1822" i="1" a="1"/>
  <c r="I1822" i="1"/>
  <c r="F1824" i="1" a="1"/>
  <c r="F1824" i="1"/>
  <c r="H1827" i="1" a="1"/>
  <c r="H1827" i="1" s="1"/>
  <c r="H1826" i="1" a="1"/>
  <c r="H1826" i="1" s="1"/>
  <c r="F1822" i="1" a="1"/>
  <c r="F1822" i="1"/>
  <c r="H1835" i="1" a="1"/>
  <c r="H1835" i="1" s="1"/>
  <c r="G1835" i="1" a="1"/>
  <c r="G1835" i="1" s="1"/>
  <c r="I1833" i="1" a="1"/>
  <c r="I1833" i="1" s="1"/>
  <c r="G1831" i="1" a="1"/>
  <c r="G1831" i="1" s="1"/>
  <c r="I1824" i="1" a="1"/>
  <c r="I1824" i="1"/>
  <c r="H1833" i="1" a="1"/>
  <c r="H1833" i="1" s="1"/>
  <c r="G1833" i="1" a="1"/>
  <c r="G1833" i="1" s="1"/>
  <c r="F1826" i="1" a="1"/>
  <c r="F1826" i="1" s="1"/>
  <c r="J1831" i="1" a="1"/>
  <c r="J1831" i="1"/>
  <c r="J1824" i="1" a="1"/>
  <c r="J1824" i="1" s="1"/>
  <c r="K1822" i="1" a="1"/>
  <c r="K1822" i="1"/>
  <c r="K1829" i="1" a="1"/>
  <c r="K1829" i="1"/>
  <c r="G1827" i="1" a="1"/>
  <c r="G1827" i="1"/>
  <c r="G1826" i="1" a="1"/>
  <c r="G1826" i="1"/>
  <c r="H1824" i="1" a="1"/>
  <c r="H1824" i="1" s="1"/>
  <c r="F1831" i="1" a="1"/>
  <c r="F1831" i="1" s="1"/>
  <c r="H1829" i="1" a="1"/>
  <c r="H1829" i="1"/>
  <c r="G1822" i="1" a="1"/>
  <c r="G1822" i="1" s="1"/>
  <c r="F1829" i="1" a="1"/>
  <c r="F1829" i="1" s="1"/>
  <c r="K1827" i="1" a="1"/>
  <c r="K1827" i="1" s="1"/>
  <c r="G1829" i="1" a="1"/>
  <c r="G1829" i="1"/>
  <c r="F1835" i="1" a="1"/>
  <c r="F1835" i="1" s="1"/>
  <c r="J1827" i="1" a="1"/>
  <c r="J1827" i="1" s="1"/>
  <c r="H1831" i="1" a="1"/>
  <c r="H1831" i="1" s="1"/>
  <c r="I1826" i="1" a="1"/>
  <c r="I1826" i="1" s="1"/>
  <c r="K1833" i="1" a="1"/>
  <c r="K1833" i="1"/>
  <c r="K1824" i="1" a="1"/>
  <c r="K1824" i="1" s="1"/>
  <c r="J1833" i="1" a="1"/>
  <c r="J1833" i="1" s="1"/>
  <c r="J1829" i="1" a="1"/>
  <c r="J1829" i="1"/>
  <c r="F1833" i="1" a="1"/>
  <c r="F1833" i="1"/>
  <c r="K1826" i="1" a="1"/>
  <c r="K1826" i="1" s="1"/>
  <c r="K1821" i="1" a="1"/>
  <c r="K1821" i="1"/>
  <c r="J1821" i="1" a="1"/>
  <c r="J1821" i="1"/>
  <c r="F1821" i="1" a="1"/>
  <c r="F1821" i="1"/>
  <c r="I1821" i="1" a="1"/>
  <c r="I1821" i="1"/>
  <c r="H1821" i="1" a="1"/>
  <c r="H1821" i="1" s="1"/>
  <c r="G1821" i="1" a="1"/>
  <c r="G1821" i="1"/>
  <c r="G1039" i="1" a="1"/>
  <c r="G1039" i="1" s="1"/>
  <c r="K1030" i="1" a="1"/>
  <c r="K1030" i="1" s="1"/>
  <c r="G1030" i="1" a="1"/>
  <c r="G1030" i="1"/>
  <c r="I1039" i="1" a="1"/>
  <c r="I1039" i="1" s="1"/>
  <c r="K1027" i="1" a="1"/>
  <c r="K1027" i="1" s="1"/>
  <c r="G1027" i="1" a="1"/>
  <c r="G1027" i="1"/>
  <c r="H1027" i="1" a="1"/>
  <c r="H1027" i="1"/>
  <c r="K1039" i="1" a="1"/>
  <c r="K1039" i="1" s="1"/>
  <c r="F1039" i="1" a="1"/>
  <c r="F1039" i="1"/>
  <c r="I1027" i="1" a="1"/>
  <c r="I1027" i="1"/>
  <c r="J1030" i="1" a="1"/>
  <c r="J1030" i="1"/>
  <c r="I1037" i="1" a="1"/>
  <c r="I1037" i="1"/>
  <c r="F1025" i="1" a="1"/>
  <c r="F1025" i="1" s="1"/>
  <c r="K1025" i="1" a="1"/>
  <c r="K1025" i="1" s="1"/>
  <c r="J1052" i="1" a="1"/>
  <c r="J1052" i="1" s="1"/>
  <c r="F1030" i="1" a="1"/>
  <c r="F1030" i="1" s="1"/>
  <c r="J1025" i="1" a="1"/>
  <c r="J1025" i="1"/>
  <c r="F1027" i="1" a="1"/>
  <c r="F1027" i="1" s="1"/>
  <c r="H1025" i="1" a="1"/>
  <c r="H1025" i="1" s="1"/>
  <c r="J1049" i="1" a="1"/>
  <c r="J1049" i="1" s="1"/>
  <c r="J1037" i="1" a="1"/>
  <c r="J1037" i="1" s="1"/>
  <c r="H1037" i="1" a="1"/>
  <c r="H1037" i="1"/>
  <c r="G1037" i="1" a="1"/>
  <c r="G1037" i="1"/>
  <c r="J1027" i="1" a="1"/>
  <c r="J1027" i="1" s="1"/>
  <c r="F1037" i="1" a="1"/>
  <c r="F1037" i="1"/>
  <c r="I1030" i="1" a="1"/>
  <c r="I1030" i="1"/>
  <c r="G1025" i="1" a="1"/>
  <c r="G1025" i="1"/>
  <c r="I1025" i="1" a="1"/>
  <c r="I1025" i="1" s="1"/>
  <c r="K1037" i="1" a="1"/>
  <c r="K1037" i="1" s="1"/>
  <c r="H1039" i="1" a="1"/>
  <c r="H1039" i="1" s="1"/>
  <c r="J1039" i="1" a="1"/>
  <c r="J1039" i="1" s="1"/>
  <c r="H1030" i="1" a="1"/>
  <c r="H1030" i="1"/>
  <c r="H1052" i="1" a="1"/>
  <c r="H1052" i="1" s="1"/>
  <c r="G996" i="1" a="1"/>
  <c r="G996" i="1" s="1"/>
  <c r="I996" i="1" a="1"/>
  <c r="I996" i="1" s="1"/>
  <c r="K1006" i="1" a="1"/>
  <c r="K1006" i="1" s="1"/>
  <c r="K1052" i="1" s="1" a="1"/>
  <c r="K1052" i="1" s="1"/>
  <c r="H1006" i="1" a="1"/>
  <c r="H1006" i="1" s="1"/>
  <c r="F1006" i="1" a="1"/>
  <c r="F1006" i="1" s="1"/>
  <c r="F1052" i="1" s="1" a="1"/>
  <c r="F1052" i="1" s="1"/>
  <c r="I997" i="1" a="1"/>
  <c r="I997" i="1" s="1"/>
  <c r="I1049" i="1" s="1" a="1"/>
  <c r="I1049" i="1" s="1"/>
  <c r="J997" i="1" a="1"/>
  <c r="J997" i="1"/>
  <c r="K989" i="1" a="1"/>
  <c r="K989" i="1"/>
  <c r="K1022" i="1" a="1"/>
  <c r="K1022" i="1" s="1"/>
  <c r="J1022" i="1" a="1"/>
  <c r="J1022" i="1"/>
  <c r="G989" i="1" a="1"/>
  <c r="G989" i="1"/>
  <c r="F989" i="1" a="1"/>
  <c r="F989" i="1"/>
  <c r="J1006" i="1" a="1"/>
  <c r="J1006" i="1" s="1"/>
  <c r="I1022" i="1" a="1"/>
  <c r="I1022" i="1" s="1"/>
  <c r="F997" i="1" a="1"/>
  <c r="F997" i="1"/>
  <c r="F1049" i="1" s="1" a="1"/>
  <c r="F1049" i="1" s="1"/>
  <c r="F996" i="1" a="1"/>
  <c r="F996" i="1" s="1"/>
  <c r="H997" i="1" a="1"/>
  <c r="H997" i="1" s="1"/>
  <c r="H1049" i="1" s="1" a="1"/>
  <c r="H1049" i="1" s="1"/>
  <c r="H996" i="1" a="1"/>
  <c r="H996" i="1" s="1"/>
  <c r="J996" i="1" a="1"/>
  <c r="J996" i="1" s="1"/>
  <c r="I989" i="1" a="1"/>
  <c r="I989" i="1"/>
  <c r="H1022" i="1" a="1"/>
  <c r="H1022" i="1" s="1"/>
  <c r="G1022" i="1" a="1"/>
  <c r="G1022" i="1" s="1"/>
  <c r="F1022" i="1" a="1"/>
  <c r="F1022" i="1" s="1"/>
  <c r="H989" i="1" a="1"/>
  <c r="H989" i="1"/>
  <c r="K996" i="1" a="1"/>
  <c r="K996" i="1" s="1"/>
  <c r="I1006" i="1" a="1"/>
  <c r="I1006" i="1" s="1"/>
  <c r="I1052" i="1" s="1" a="1"/>
  <c r="I1052" i="1" s="1"/>
  <c r="J989" i="1" a="1"/>
  <c r="J989" i="1"/>
  <c r="G1006" i="1" a="1"/>
  <c r="G1006" i="1"/>
  <c r="G1052" i="1" s="1" a="1"/>
  <c r="G1052" i="1" s="1"/>
  <c r="G997" i="1" a="1"/>
  <c r="G997" i="1"/>
  <c r="G1049" i="1" s="1" a="1"/>
  <c r="G1049" i="1" s="1"/>
  <c r="K997" i="1" a="1"/>
  <c r="K997" i="1" s="1"/>
  <c r="K1049" i="1" s="1" a="1"/>
  <c r="K1049" i="1" s="1"/>
  <c r="K977" i="1" a="1"/>
  <c r="K977" i="1"/>
  <c r="K1051" i="1" s="1" a="1"/>
  <c r="K1051" i="1" s="1"/>
  <c r="F977" i="1" a="1"/>
  <c r="F977" i="1"/>
  <c r="F1051" i="1" s="1" a="1"/>
  <c r="F1051" i="1" s="1"/>
  <c r="F974" i="1" a="1"/>
  <c r="F974" i="1" s="1"/>
  <c r="G976" i="1" a="1"/>
  <c r="G976" i="1" s="1"/>
  <c r="F973" i="1" a="1"/>
  <c r="F973" i="1" s="1"/>
  <c r="J973" i="1" a="1"/>
  <c r="J973" i="1"/>
  <c r="J976" i="1" a="1"/>
  <c r="J976" i="1" s="1"/>
  <c r="H974" i="1" a="1"/>
  <c r="H974" i="1" s="1"/>
  <c r="J983" i="1" a="1"/>
  <c r="J983" i="1" s="1"/>
  <c r="H983" i="1" a="1"/>
  <c r="H983" i="1" s="1"/>
  <c r="I983" i="1" a="1"/>
  <c r="I983" i="1"/>
  <c r="G983" i="1" a="1"/>
  <c r="G983" i="1" s="1"/>
  <c r="F983" i="1" a="1"/>
  <c r="F983" i="1" s="1"/>
  <c r="J977" i="1" a="1"/>
  <c r="J977" i="1"/>
  <c r="J1051" i="1" s="1" a="1"/>
  <c r="J1051" i="1" s="1"/>
  <c r="I977" i="1" a="1"/>
  <c r="I977" i="1"/>
  <c r="I1051" i="1" s="1" a="1"/>
  <c r="I1051" i="1" s="1"/>
  <c r="H977" i="1" a="1"/>
  <c r="H977" i="1" s="1"/>
  <c r="H1051" i="1" s="1" a="1"/>
  <c r="H1051" i="1" s="1"/>
  <c r="I974" i="1" a="1"/>
  <c r="I974" i="1" s="1"/>
  <c r="G977" i="1" a="1"/>
  <c r="G977" i="1" s="1"/>
  <c r="G1051" i="1" s="1" a="1"/>
  <c r="G1051" i="1" s="1"/>
  <c r="I976" i="1" a="1"/>
  <c r="I976" i="1"/>
  <c r="H976" i="1" a="1"/>
  <c r="H976" i="1"/>
  <c r="G974" i="1" a="1"/>
  <c r="G974" i="1" s="1"/>
  <c r="G973" i="1" a="1"/>
  <c r="G973" i="1"/>
  <c r="F976" i="1" a="1"/>
  <c r="F976" i="1" s="1"/>
  <c r="I973" i="1" a="1"/>
  <c r="I973" i="1"/>
  <c r="J974" i="1" a="1"/>
  <c r="J974" i="1" s="1"/>
  <c r="H973" i="1" a="1"/>
  <c r="H973" i="1" s="1"/>
  <c r="K973" i="1" a="1"/>
  <c r="K973" i="1"/>
  <c r="K976" i="1" a="1"/>
  <c r="K976" i="1"/>
  <c r="K983" i="1" a="1"/>
  <c r="K983" i="1" s="1"/>
  <c r="K974" i="1" a="1"/>
  <c r="K974" i="1" s="1"/>
  <c r="G914" i="1" a="1"/>
  <c r="G914" i="1" s="1"/>
  <c r="G883" i="1" a="1"/>
  <c r="G883" i="1"/>
  <c r="I914" i="1" a="1"/>
  <c r="I914" i="1" s="1"/>
  <c r="F914" i="1" a="1"/>
  <c r="F914" i="1"/>
  <c r="K883" i="1" a="1"/>
  <c r="K883" i="1" s="1"/>
  <c r="F883" i="1" a="1"/>
  <c r="F883" i="1"/>
  <c r="J926" i="1" a="1"/>
  <c r="J926" i="1" s="1"/>
  <c r="H926" i="1" a="1"/>
  <c r="H926" i="1"/>
  <c r="K914" i="1" a="1"/>
  <c r="K914" i="1" s="1"/>
  <c r="H914" i="1" a="1"/>
  <c r="H914" i="1"/>
  <c r="F894" i="1" a="1"/>
  <c r="F894" i="1"/>
  <c r="I912" i="1" a="1"/>
  <c r="I912" i="1" s="1"/>
  <c r="K926" i="1" a="1"/>
  <c r="K926" i="1" s="1"/>
  <c r="I926" i="1" a="1"/>
  <c r="I926" i="1" s="1"/>
  <c r="G926" i="1" a="1"/>
  <c r="G926" i="1" s="1"/>
  <c r="J914" i="1" a="1"/>
  <c r="J914" i="1" s="1"/>
  <c r="I894" i="1" a="1"/>
  <c r="I894" i="1" s="1"/>
  <c r="J912" i="1" a="1"/>
  <c r="J912" i="1"/>
  <c r="K894" i="1" a="1"/>
  <c r="K894" i="1" s="1"/>
  <c r="I883" i="1" a="1"/>
  <c r="I883" i="1" s="1"/>
  <c r="H883" i="1" a="1"/>
  <c r="H883" i="1" s="1"/>
  <c r="H912" i="1" a="1"/>
  <c r="H912" i="1" s="1"/>
  <c r="F912" i="1" a="1"/>
  <c r="F912" i="1" s="1"/>
  <c r="K912" i="1" a="1"/>
  <c r="K912" i="1" s="1"/>
  <c r="J894" i="1" a="1"/>
  <c r="J894" i="1" s="1"/>
  <c r="G894" i="1" a="1"/>
  <c r="G894" i="1" s="1"/>
  <c r="G912" i="1" a="1"/>
  <c r="G912" i="1" s="1"/>
  <c r="H894" i="1" a="1"/>
  <c r="H894" i="1" s="1"/>
  <c r="J883" i="1" a="1"/>
  <c r="J883" i="1" s="1"/>
  <c r="F926" i="1" a="1"/>
  <c r="F926" i="1" s="1"/>
  <c r="K804" i="1" a="1"/>
  <c r="K804" i="1" s="1"/>
  <c r="H804" i="1" a="1"/>
  <c r="H804" i="1"/>
  <c r="G814" i="1" a="1"/>
  <c r="G814" i="1" s="1"/>
  <c r="J804" i="1" a="1"/>
  <c r="J804" i="1"/>
  <c r="K882" i="1" a="1"/>
  <c r="K882" i="1"/>
  <c r="J882" i="1" a="1"/>
  <c r="J882" i="1"/>
  <c r="I882" i="1" a="1"/>
  <c r="I882" i="1" s="1"/>
  <c r="H882" i="1" a="1"/>
  <c r="H882" i="1" s="1"/>
  <c r="F882" i="1" a="1"/>
  <c r="F882" i="1" s="1"/>
  <c r="I804" i="1" a="1"/>
  <c r="I804" i="1"/>
  <c r="G882" i="1" a="1"/>
  <c r="G882" i="1"/>
  <c r="I802" i="1" a="1"/>
  <c r="I802" i="1"/>
  <c r="F802" i="1" a="1"/>
  <c r="F802" i="1" s="1"/>
  <c r="H764" i="1" a="1"/>
  <c r="H764" i="1" s="1"/>
  <c r="H814" i="1" s="1" a="1"/>
  <c r="H814" i="1" s="1"/>
  <c r="H802" i="1" a="1"/>
  <c r="H802" i="1"/>
  <c r="G802" i="1" a="1"/>
  <c r="G802" i="1" s="1"/>
  <c r="G800" i="1" a="1"/>
  <c r="G800" i="1" s="1"/>
  <c r="G764" i="1" a="1"/>
  <c r="G764" i="1" s="1"/>
  <c r="F800" i="1" a="1"/>
  <c r="F800" i="1" s="1"/>
  <c r="K800" i="1" a="1"/>
  <c r="K800" i="1"/>
  <c r="I778" i="1" a="1"/>
  <c r="I778" i="1" s="1"/>
  <c r="I777" i="1" s="1"/>
  <c r="I764" i="1" a="1"/>
  <c r="I764" i="1"/>
  <c r="I814" i="1" s="1" a="1"/>
  <c r="I814" i="1" s="1"/>
  <c r="J800" i="1" a="1"/>
  <c r="J800" i="1" s="1"/>
  <c r="I800" i="1" a="1"/>
  <c r="I800" i="1" s="1"/>
  <c r="H800" i="1" a="1"/>
  <c r="H800" i="1"/>
  <c r="J778" i="1" a="1"/>
  <c r="J778" i="1" s="1"/>
  <c r="J777" i="1" s="1"/>
  <c r="K778" i="1" a="1"/>
  <c r="K778" i="1"/>
  <c r="H778" i="1" a="1"/>
  <c r="H778" i="1" s="1"/>
  <c r="F764" i="1" a="1"/>
  <c r="F764" i="1"/>
  <c r="F814" i="1" s="1" a="1"/>
  <c r="F814" i="1" s="1"/>
  <c r="G778" i="1" a="1"/>
  <c r="G778" i="1" s="1"/>
  <c r="G777" i="1" s="1"/>
  <c r="G784" i="1" s="1"/>
  <c r="F778" i="1" a="1"/>
  <c r="F778" i="1" s="1"/>
  <c r="J764" i="1" a="1"/>
  <c r="J764" i="1" s="1"/>
  <c r="J814" i="1" s="1" a="1"/>
  <c r="J814" i="1" s="1"/>
  <c r="K764" i="1" a="1"/>
  <c r="K764" i="1" s="1"/>
  <c r="K814" i="1" s="1" a="1"/>
  <c r="K814" i="1" s="1"/>
  <c r="G804" i="1" a="1"/>
  <c r="G804" i="1"/>
  <c r="F804" i="1" a="1"/>
  <c r="F804" i="1" s="1"/>
  <c r="K802" i="1" a="1"/>
  <c r="K802" i="1" s="1"/>
  <c r="J802" i="1" a="1"/>
  <c r="J802" i="1" s="1"/>
  <c r="K854" i="1"/>
  <c r="K853" i="1" s="1"/>
  <c r="J854" i="1"/>
  <c r="I854" i="1"/>
  <c r="H854" i="1"/>
  <c r="G854" i="1"/>
  <c r="F854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H785" i="1"/>
  <c r="G785" i="1"/>
  <c r="H784" i="1"/>
  <c r="H781" i="1"/>
  <c r="G781" i="1"/>
  <c r="K780" i="1"/>
  <c r="J780" i="1"/>
  <c r="I780" i="1"/>
  <c r="H780" i="1"/>
  <c r="G780" i="1"/>
  <c r="F780" i="1"/>
  <c r="K777" i="1"/>
  <c r="K784" i="1" s="1"/>
  <c r="K785" i="1" s="1"/>
  <c r="H777" i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I673" i="1"/>
  <c r="H673" i="1"/>
  <c r="J672" i="1"/>
  <c r="I672" i="1"/>
  <c r="H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H667" i="1"/>
  <c r="G667" i="1"/>
  <c r="G673" i="1" s="1"/>
  <c r="F667" i="1"/>
  <c r="F673" i="1" s="1"/>
  <c r="K666" i="1"/>
  <c r="K672" i="1" s="1"/>
  <c r="J666" i="1"/>
  <c r="I666" i="1"/>
  <c r="H666" i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8" i="1"/>
  <c r="G517" i="1"/>
  <c r="K515" i="1"/>
  <c r="F515" i="1"/>
  <c r="K503" i="1"/>
  <c r="J503" i="1"/>
  <c r="I503" i="1"/>
  <c r="H503" i="1"/>
  <c r="G503" i="1"/>
  <c r="F503" i="1"/>
  <c r="G478" i="1"/>
  <c r="I477" i="1"/>
  <c r="F476" i="1"/>
  <c r="I474" i="1"/>
  <c r="G474" i="1"/>
  <c r="I473" i="1"/>
  <c r="J472" i="1"/>
  <c r="J471" i="1"/>
  <c r="H463" i="1"/>
  <c r="G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F437" i="1"/>
  <c r="F435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H398" i="1"/>
  <c r="H518" i="1" s="1"/>
  <c r="F398" i="1"/>
  <c r="K397" i="1"/>
  <c r="K517" i="1" s="1"/>
  <c r="G397" i="1"/>
  <c r="I396" i="1"/>
  <c r="I437" i="1" s="1"/>
  <c r="H396" i="1"/>
  <c r="H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J384" i="1"/>
  <c r="J515" i="1" s="1"/>
  <c r="H384" i="1"/>
  <c r="H515" i="1" s="1"/>
  <c r="K383" i="1"/>
  <c r="K514" i="1" s="1"/>
  <c r="J383" i="1"/>
  <c r="J514" i="1" s="1"/>
  <c r="G383" i="1"/>
  <c r="G514" i="1" s="1"/>
  <c r="J382" i="1"/>
  <c r="J513" i="1" s="1"/>
  <c r="K379" i="1"/>
  <c r="J379" i="1"/>
  <c r="I379" i="1"/>
  <c r="H379" i="1"/>
  <c r="G379" i="1"/>
  <c r="F379" i="1"/>
  <c r="J378" i="1"/>
  <c r="J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G323" i="1"/>
  <c r="K322" i="1"/>
  <c r="K477" i="1" s="1"/>
  <c r="I322" i="1"/>
  <c r="G321" i="1"/>
  <c r="G476" i="1" s="1"/>
  <c r="F321" i="1"/>
  <c r="F320" i="1"/>
  <c r="F475" i="1" s="1"/>
  <c r="K319" i="1"/>
  <c r="K474" i="1" s="1"/>
  <c r="J319" i="1"/>
  <c r="J474" i="1" s="1"/>
  <c r="I319" i="1"/>
  <c r="G319" i="1"/>
  <c r="F319" i="1"/>
  <c r="F474" i="1" s="1"/>
  <c r="H318" i="1"/>
  <c r="H473" i="1" s="1"/>
  <c r="J317" i="1"/>
  <c r="K316" i="1"/>
  <c r="K471" i="1" s="1"/>
  <c r="J316" i="1"/>
  <c r="I316" i="1"/>
  <c r="I471" i="1" s="1"/>
  <c r="G316" i="1"/>
  <c r="G471" i="1" s="1"/>
  <c r="H314" i="1"/>
  <c r="H469" i="1" s="1"/>
  <c r="K312" i="1"/>
  <c r="K417" i="1" s="1"/>
  <c r="J312" i="1"/>
  <c r="J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G299" i="1"/>
  <c r="J298" i="1"/>
  <c r="J411" i="1" s="1"/>
  <c r="H298" i="1"/>
  <c r="H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239" i="1"/>
  <c r="I314" i="1" s="1"/>
  <c r="I469" i="1" s="1"/>
  <c r="H239" i="1"/>
  <c r="K127" i="1"/>
  <c r="I127" i="1"/>
  <c r="H127" i="1"/>
  <c r="G127" i="1"/>
  <c r="F127" i="1"/>
  <c r="J126" i="1"/>
  <c r="I126" i="1"/>
  <c r="H126" i="1"/>
  <c r="J124" i="1"/>
  <c r="F124" i="1"/>
  <c r="K123" i="1"/>
  <c r="G123" i="1"/>
  <c r="F123" i="1"/>
  <c r="I122" i="1"/>
  <c r="H122" i="1"/>
  <c r="J121" i="1"/>
  <c r="G121" i="1"/>
  <c r="J120" i="1"/>
  <c r="I120" i="1"/>
  <c r="H120" i="1"/>
  <c r="K119" i="1"/>
  <c r="G119" i="1"/>
  <c r="F119" i="1"/>
  <c r="K118" i="1"/>
  <c r="J118" i="1"/>
  <c r="H118" i="1"/>
  <c r="H117" i="1"/>
  <c r="G117" i="1"/>
  <c r="F117" i="1"/>
  <c r="K116" i="1"/>
  <c r="J116" i="1"/>
  <c r="H116" i="1"/>
  <c r="K115" i="1"/>
  <c r="H115" i="1"/>
  <c r="F115" i="1"/>
  <c r="I114" i="1"/>
  <c r="F114" i="1"/>
  <c r="I113" i="1"/>
  <c r="H113" i="1"/>
  <c r="G113" i="1"/>
  <c r="K393" i="1"/>
  <c r="J393" i="1"/>
  <c r="I393" i="1"/>
  <c r="H393" i="1"/>
  <c r="G393" i="1"/>
  <c r="F393" i="1"/>
  <c r="K288" i="1"/>
  <c r="K398" i="1" s="1"/>
  <c r="K518" i="1" s="1"/>
  <c r="J288" i="1"/>
  <c r="I288" i="1"/>
  <c r="H288" i="1"/>
  <c r="G288" i="1"/>
  <c r="F288" i="1"/>
  <c r="K287" i="1"/>
  <c r="J287" i="1"/>
  <c r="J397" i="1" s="1"/>
  <c r="J517" i="1" s="1"/>
  <c r="I287" i="1"/>
  <c r="H287" i="1"/>
  <c r="G287" i="1"/>
  <c r="F287" i="1"/>
  <c r="F397" i="1" s="1"/>
  <c r="F517" i="1" s="1"/>
  <c r="K285" i="1"/>
  <c r="J285" i="1"/>
  <c r="I285" i="1"/>
  <c r="I384" i="1" s="1"/>
  <c r="I515" i="1" s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H382" i="1" s="1"/>
  <c r="H513" i="1" s="1"/>
  <c r="G283" i="1"/>
  <c r="F283" i="1"/>
  <c r="K248" i="1"/>
  <c r="K323" i="1" s="1"/>
  <c r="K478" i="1" s="1"/>
  <c r="J248" i="1"/>
  <c r="I248" i="1"/>
  <c r="H248" i="1"/>
  <c r="G248" i="1"/>
  <c r="F248" i="1"/>
  <c r="K247" i="1"/>
  <c r="J247" i="1"/>
  <c r="J322" i="1" s="1"/>
  <c r="J477" i="1" s="1"/>
  <c r="I247" i="1"/>
  <c r="H247" i="1"/>
  <c r="H322" i="1" s="1"/>
  <c r="H477" i="1" s="1"/>
  <c r="G247" i="1"/>
  <c r="F247" i="1"/>
  <c r="K246" i="1"/>
  <c r="K321" i="1" s="1"/>
  <c r="K476" i="1" s="1"/>
  <c r="J246" i="1"/>
  <c r="I246" i="1"/>
  <c r="H246" i="1"/>
  <c r="H321" i="1" s="1"/>
  <c r="H476" i="1" s="1"/>
  <c r="G246" i="1"/>
  <c r="F246" i="1"/>
  <c r="K245" i="1"/>
  <c r="J245" i="1"/>
  <c r="I245" i="1"/>
  <c r="I320" i="1" s="1"/>
  <c r="I475" i="1" s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F318" i="1" s="1"/>
  <c r="F473" i="1" s="1"/>
  <c r="K242" i="1"/>
  <c r="J242" i="1"/>
  <c r="I242" i="1"/>
  <c r="H242" i="1"/>
  <c r="G242" i="1"/>
  <c r="G317" i="1" s="1"/>
  <c r="G472" i="1" s="1"/>
  <c r="F242" i="1"/>
  <c r="K241" i="1"/>
  <c r="J241" i="1"/>
  <c r="I241" i="1"/>
  <c r="H241" i="1"/>
  <c r="G241" i="1"/>
  <c r="F241" i="1"/>
  <c r="F316" i="1" s="1"/>
  <c r="F471" i="1" s="1"/>
  <c r="K233" i="1"/>
  <c r="J233" i="1"/>
  <c r="I233" i="1"/>
  <c r="I299" i="1" s="1"/>
  <c r="I463" i="1" s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I214" i="1"/>
  <c r="I210" i="1" s="1"/>
  <c r="H214" i="1"/>
  <c r="G214" i="1"/>
  <c r="F214" i="1"/>
  <c r="F210" i="1" s="1"/>
  <c r="J210" i="1"/>
  <c r="H210" i="1"/>
  <c r="G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F378" i="1" s="1"/>
  <c r="K188" i="1"/>
  <c r="J188" i="1"/>
  <c r="I188" i="1"/>
  <c r="H188" i="1"/>
  <c r="H313" i="1" s="1"/>
  <c r="H418" i="1" s="1"/>
  <c r="G188" i="1"/>
  <c r="G313" i="1" s="1"/>
  <c r="G418" i="1" s="1"/>
  <c r="F188" i="1"/>
  <c r="K187" i="1"/>
  <c r="J187" i="1"/>
  <c r="I187" i="1"/>
  <c r="I312" i="1" s="1"/>
  <c r="I417" i="1" s="1"/>
  <c r="H187" i="1"/>
  <c r="H312" i="1" s="1"/>
  <c r="H417" i="1" s="1"/>
  <c r="G187" i="1"/>
  <c r="F187" i="1"/>
  <c r="K183" i="1"/>
  <c r="K298" i="1" s="1"/>
  <c r="K411" i="1" s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G398" i="1" s="1"/>
  <c r="G518" i="1" s="1"/>
  <c r="F170" i="1"/>
  <c r="K169" i="1"/>
  <c r="J169" i="1"/>
  <c r="I169" i="1"/>
  <c r="I397" i="1" s="1"/>
  <c r="I517" i="1" s="1"/>
  <c r="H169" i="1"/>
  <c r="H397" i="1" s="1"/>
  <c r="H517" i="1" s="1"/>
  <c r="G169" i="1"/>
  <c r="F169" i="1"/>
  <c r="K168" i="1"/>
  <c r="K396" i="1" s="1"/>
  <c r="K437" i="1" s="1"/>
  <c r="J168" i="1"/>
  <c r="J396" i="1" s="1"/>
  <c r="J437" i="1" s="1"/>
  <c r="I168" i="1"/>
  <c r="H168" i="1"/>
  <c r="G168" i="1"/>
  <c r="G396" i="1" s="1"/>
  <c r="G437" i="1" s="1"/>
  <c r="F168" i="1"/>
  <c r="F396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F384" i="1" s="1"/>
  <c r="K155" i="1"/>
  <c r="J155" i="1"/>
  <c r="I155" i="1"/>
  <c r="I383" i="1" s="1"/>
  <c r="I514" i="1" s="1"/>
  <c r="H155" i="1"/>
  <c r="H383" i="1" s="1"/>
  <c r="H514" i="1" s="1"/>
  <c r="G155" i="1"/>
  <c r="F155" i="1"/>
  <c r="K154" i="1"/>
  <c r="K382" i="1" s="1"/>
  <c r="K513" i="1" s="1"/>
  <c r="J154" i="1"/>
  <c r="I154" i="1"/>
  <c r="I382" i="1" s="1"/>
  <c r="I513" i="1" s="1"/>
  <c r="H154" i="1"/>
  <c r="G154" i="1"/>
  <c r="G382" i="1" s="1"/>
  <c r="G513" i="1" s="1"/>
  <c r="F154" i="1"/>
  <c r="F382" i="1" s="1"/>
  <c r="F513" i="1" s="1"/>
  <c r="K153" i="1"/>
  <c r="K381" i="1" s="1"/>
  <c r="K512" i="1" s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H378" i="1" s="1"/>
  <c r="H435" i="1" s="1"/>
  <c r="G150" i="1"/>
  <c r="G378" i="1" s="1"/>
  <c r="G435" i="1" s="1"/>
  <c r="F150" i="1"/>
  <c r="K134" i="1"/>
  <c r="J134" i="1"/>
  <c r="J362" i="1" s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I139" i="1" s="1" a="1"/>
  <c r="I139" i="1" s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F136" i="1" s="1" a="1"/>
  <c r="F136" i="1" s="1"/>
  <c r="K95" i="1"/>
  <c r="J95" i="1"/>
  <c r="J323" i="1" s="1"/>
  <c r="J478" i="1" s="1"/>
  <c r="I95" i="1"/>
  <c r="I323" i="1" s="1"/>
  <c r="I478" i="1" s="1"/>
  <c r="H95" i="1"/>
  <c r="G95" i="1"/>
  <c r="F95" i="1"/>
  <c r="F323" i="1" s="1"/>
  <c r="F478" i="1" s="1"/>
  <c r="K94" i="1"/>
  <c r="K126" i="1" s="1"/>
  <c r="J94" i="1"/>
  <c r="I94" i="1"/>
  <c r="H94" i="1"/>
  <c r="G94" i="1"/>
  <c r="G322" i="1" s="1"/>
  <c r="G477" i="1" s="1"/>
  <c r="F94" i="1"/>
  <c r="K93" i="1"/>
  <c r="J93" i="1"/>
  <c r="J321" i="1" s="1"/>
  <c r="J476" i="1" s="1"/>
  <c r="I93" i="1"/>
  <c r="H93" i="1"/>
  <c r="G93" i="1"/>
  <c r="F93" i="1"/>
  <c r="K92" i="1"/>
  <c r="K124" i="1" s="1"/>
  <c r="J92" i="1"/>
  <c r="J320" i="1" s="1"/>
  <c r="J475" i="1" s="1"/>
  <c r="I92" i="1"/>
  <c r="I124" i="1" s="1"/>
  <c r="H92" i="1"/>
  <c r="H124" i="1" s="1"/>
  <c r="G92" i="1"/>
  <c r="G124" i="1" s="1"/>
  <c r="F92" i="1"/>
  <c r="K91" i="1"/>
  <c r="J91" i="1"/>
  <c r="J123" i="1" s="1"/>
  <c r="I91" i="1"/>
  <c r="I123" i="1" s="1"/>
  <c r="H91" i="1"/>
  <c r="G91" i="1"/>
  <c r="F91" i="1"/>
  <c r="K90" i="1"/>
  <c r="K318" i="1" s="1"/>
  <c r="K473" i="1" s="1"/>
  <c r="J90" i="1"/>
  <c r="J318" i="1" s="1"/>
  <c r="J473" i="1" s="1"/>
  <c r="I90" i="1"/>
  <c r="I318" i="1" s="1"/>
  <c r="H90" i="1"/>
  <c r="G90" i="1"/>
  <c r="G122" i="1" s="1"/>
  <c r="F90" i="1"/>
  <c r="F122" i="1" s="1"/>
  <c r="K89" i="1"/>
  <c r="K317" i="1" s="1"/>
  <c r="K472" i="1" s="1"/>
  <c r="J89" i="1"/>
  <c r="I89" i="1"/>
  <c r="I121" i="1" s="1"/>
  <c r="H89" i="1"/>
  <c r="H121" i="1" s="1"/>
  <c r="G89" i="1"/>
  <c r="F89" i="1"/>
  <c r="K88" i="1"/>
  <c r="K120" i="1" s="1"/>
  <c r="J88" i="1"/>
  <c r="I88" i="1"/>
  <c r="H88" i="1"/>
  <c r="H316" i="1" s="1"/>
  <c r="H471" i="1" s="1"/>
  <c r="G88" i="1"/>
  <c r="G120" i="1" s="1"/>
  <c r="F88" i="1"/>
  <c r="F120" i="1" s="1"/>
  <c r="K87" i="1"/>
  <c r="J87" i="1"/>
  <c r="I87" i="1"/>
  <c r="I119" i="1" s="1"/>
  <c r="H87" i="1"/>
  <c r="H315" i="1" s="1"/>
  <c r="H470" i="1" s="1"/>
  <c r="G87" i="1"/>
  <c r="F87" i="1"/>
  <c r="K86" i="1"/>
  <c r="J86" i="1"/>
  <c r="I86" i="1"/>
  <c r="I118" i="1" s="1"/>
  <c r="H86" i="1"/>
  <c r="G86" i="1"/>
  <c r="G118" i="1" s="1"/>
  <c r="F86" i="1"/>
  <c r="F118" i="1" s="1"/>
  <c r="K85" i="1"/>
  <c r="K313" i="1" s="1"/>
  <c r="K418" i="1" s="1"/>
  <c r="J85" i="1"/>
  <c r="J117" i="1" s="1"/>
  <c r="I85" i="1"/>
  <c r="I117" i="1" s="1"/>
  <c r="H85" i="1"/>
  <c r="G85" i="1"/>
  <c r="F85" i="1"/>
  <c r="F313" i="1" s="1"/>
  <c r="F418" i="1" s="1"/>
  <c r="K84" i="1"/>
  <c r="J84" i="1"/>
  <c r="I84" i="1"/>
  <c r="I116" i="1" s="1"/>
  <c r="H84" i="1"/>
  <c r="G84" i="1"/>
  <c r="G116" i="1" s="1"/>
  <c r="F84" i="1"/>
  <c r="K83" i="1"/>
  <c r="J83" i="1"/>
  <c r="J115" i="1" s="1"/>
  <c r="I83" i="1"/>
  <c r="I115" i="1" s="1"/>
  <c r="H83" i="1"/>
  <c r="G83" i="1"/>
  <c r="G115" i="1" s="1"/>
  <c r="F83" i="1"/>
  <c r="K82" i="1"/>
  <c r="K114" i="1" s="1"/>
  <c r="J82" i="1"/>
  <c r="J114" i="1" s="1"/>
  <c r="I82" i="1"/>
  <c r="H82" i="1"/>
  <c r="H114" i="1" s="1"/>
  <c r="G82" i="1"/>
  <c r="G114" i="1" s="1"/>
  <c r="F82" i="1"/>
  <c r="K81" i="1"/>
  <c r="K113" i="1" s="1"/>
  <c r="J81" i="1"/>
  <c r="J113" i="1" s="1"/>
  <c r="I81" i="1"/>
  <c r="H81" i="1"/>
  <c r="G81" i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H71" i="1"/>
  <c r="H299" i="1" s="1"/>
  <c r="G71" i="1"/>
  <c r="F71" i="1"/>
  <c r="K70" i="1"/>
  <c r="J70" i="1"/>
  <c r="I70" i="1"/>
  <c r="I298" i="1" s="1"/>
  <c r="I411" i="1" s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3" i="1" a="1"/>
  <c r="I2043" i="1"/>
  <c r="G2042" i="1" a="1"/>
  <c r="G2042" i="1" s="1"/>
  <c r="H2038" i="1" a="1"/>
  <c r="H2038" i="1" s="1"/>
  <c r="G2044" i="1" a="1"/>
  <c r="G2044" i="1"/>
  <c r="J2039" i="1" a="1"/>
  <c r="J2039" i="1"/>
  <c r="H2043" i="1" a="1"/>
  <c r="H2043" i="1"/>
  <c r="I2042" i="1" a="1"/>
  <c r="I2042" i="1" s="1"/>
  <c r="H2040" i="1" a="1"/>
  <c r="H2040" i="1"/>
  <c r="F2041" i="1" a="1"/>
  <c r="F2041" i="1" s="1"/>
  <c r="J2044" i="1" a="1"/>
  <c r="J2044" i="1" s="1"/>
  <c r="G2041" i="1" a="1"/>
  <c r="G2041" i="1" s="1"/>
  <c r="I2041" i="1" a="1"/>
  <c r="I2041" i="1"/>
  <c r="J2043" i="1" a="1"/>
  <c r="J2043" i="1"/>
  <c r="K2040" i="1" a="1"/>
  <c r="K2040" i="1"/>
  <c r="K2042" i="1" a="1"/>
  <c r="K2042" i="1" s="1"/>
  <c r="K2043" i="1" a="1"/>
  <c r="K2043" i="1"/>
  <c r="I2038" i="1" a="1"/>
  <c r="I2038" i="1" s="1"/>
  <c r="G2039" i="1" a="1"/>
  <c r="G2039" i="1" s="1"/>
  <c r="K2039" i="1" a="1"/>
  <c r="K2039" i="1" s="1"/>
  <c r="G2043" i="1" a="1"/>
  <c r="G2043" i="1" s="1"/>
  <c r="H2041" i="1" a="1"/>
  <c r="H2041" i="1" s="1"/>
  <c r="G2040" i="1" a="1"/>
  <c r="G2040" i="1" s="1"/>
  <c r="F2040" i="1" a="1"/>
  <c r="F2040" i="1"/>
  <c r="J2042" i="1" a="1"/>
  <c r="J2042" i="1"/>
  <c r="K2038" i="1" a="1"/>
  <c r="K2038" i="1"/>
  <c r="F2043" i="1" a="1"/>
  <c r="F2043" i="1"/>
  <c r="H2039" i="1" a="1"/>
  <c r="H2039" i="1"/>
  <c r="J2041" i="1" a="1"/>
  <c r="J2041" i="1" s="1"/>
  <c r="J2040" i="1" a="1"/>
  <c r="J2040" i="1"/>
  <c r="K2044" i="1" a="1"/>
  <c r="K2044" i="1" s="1"/>
  <c r="F2044" i="1" a="1"/>
  <c r="F2044" i="1"/>
  <c r="I2044" i="1" a="1"/>
  <c r="I2044" i="1" s="1"/>
  <c r="H2044" i="1" a="1"/>
  <c r="H2044" i="1"/>
  <c r="F2039" i="1" a="1"/>
  <c r="F2039" i="1" s="1"/>
  <c r="I2039" i="1" a="1"/>
  <c r="I2039" i="1" s="1"/>
  <c r="J2038" i="1" a="1"/>
  <c r="J2038" i="1" s="1"/>
  <c r="H2042" i="1" a="1"/>
  <c r="H2042" i="1"/>
  <c r="G2038" i="1" a="1"/>
  <c r="G2038" i="1"/>
  <c r="F2042" i="1" a="1"/>
  <c r="F2042" i="1"/>
  <c r="I2040" i="1" a="1"/>
  <c r="I2040" i="1" s="1"/>
  <c r="K2041" i="1" a="1"/>
  <c r="K2041" i="1" s="1"/>
  <c r="F2033" i="1" a="1"/>
  <c r="F2033" i="1" s="1"/>
  <c r="G2033" i="1" a="1"/>
  <c r="G2033" i="1"/>
  <c r="H2035" i="1" a="1"/>
  <c r="H2035" i="1"/>
  <c r="K2034" i="1" a="1"/>
  <c r="K2034" i="1"/>
  <c r="J2034" i="1" a="1"/>
  <c r="J2034" i="1" s="1"/>
  <c r="J2033" i="1" a="1"/>
  <c r="J2033" i="1"/>
  <c r="J2027" i="1" a="1"/>
  <c r="J2027" i="1"/>
  <c r="K2029" i="1" a="1"/>
  <c r="K2029" i="1"/>
  <c r="I2033" i="1" a="1"/>
  <c r="I2033" i="1" s="1"/>
  <c r="I2032" i="1" a="1"/>
  <c r="I2032" i="1"/>
  <c r="I2031" i="1" a="1"/>
  <c r="I2031" i="1" s="1"/>
  <c r="F2030" i="1" a="1"/>
  <c r="F2030" i="1" s="1"/>
  <c r="G2029" i="1" a="1"/>
  <c r="G2029" i="1" s="1"/>
  <c r="G2034" i="1" a="1"/>
  <c r="G2034" i="1" s="1"/>
  <c r="H2031" i="1" a="1"/>
  <c r="H2031" i="1" s="1"/>
  <c r="I2029" i="1" a="1"/>
  <c r="I2029" i="1" s="1"/>
  <c r="I2027" i="1" a="1"/>
  <c r="I2027" i="1"/>
  <c r="I2026" i="1" s="1" a="1"/>
  <c r="I2026" i="1" s="1"/>
  <c r="K2027" i="1" a="1"/>
  <c r="K2027" i="1"/>
  <c r="H2029" i="1" a="1"/>
  <c r="H2029" i="1" s="1"/>
  <c r="H2030" i="1" a="1"/>
  <c r="H2030" i="1"/>
  <c r="J2030" i="1" a="1"/>
  <c r="J2030" i="1"/>
  <c r="K2026" i="1" a="1"/>
  <c r="K2026" i="1" s="1"/>
  <c r="G2036" i="1" a="1"/>
  <c r="G2036" i="1"/>
  <c r="J2032" i="1" a="1"/>
  <c r="J2032" i="1" s="1"/>
  <c r="F2036" i="1" a="1"/>
  <c r="F2036" i="1"/>
  <c r="K2033" i="1" a="1"/>
  <c r="K2033" i="1" s="1"/>
  <c r="F2035" i="1" a="1"/>
  <c r="F2035" i="1"/>
  <c r="I2030" i="1" a="1"/>
  <c r="I2030" i="1"/>
  <c r="H2033" i="1" a="1"/>
  <c r="H2033" i="1" s="1"/>
  <c r="I2034" i="1" a="1"/>
  <c r="I2034" i="1"/>
  <c r="F2027" i="1" a="1"/>
  <c r="F2027" i="1" s="1"/>
  <c r="F2038" i="1" a="1"/>
  <c r="F2038" i="1"/>
  <c r="F2037" i="1" a="1"/>
  <c r="F2037" i="1" s="1"/>
  <c r="H2036" i="1" a="1"/>
  <c r="H2036" i="1" s="1"/>
  <c r="K2037" i="1" a="1"/>
  <c r="K2037" i="1"/>
  <c r="I2037" i="1" a="1"/>
  <c r="I2037" i="1"/>
  <c r="F2031" i="1" a="1"/>
  <c r="F2031" i="1" s="1"/>
  <c r="K2031" i="1" a="1"/>
  <c r="K2031" i="1"/>
  <c r="J2037" i="1" a="1"/>
  <c r="J2037" i="1" s="1"/>
  <c r="G2031" i="1" a="1"/>
  <c r="G2031" i="1"/>
  <c r="H2037" i="1" a="1"/>
  <c r="H2037" i="1"/>
  <c r="G2037" i="1" a="1"/>
  <c r="G2037" i="1" s="1"/>
  <c r="F2032" i="1" a="1"/>
  <c r="F2032" i="1"/>
  <c r="I2036" i="1" a="1"/>
  <c r="I2036" i="1"/>
  <c r="G2035" i="1" a="1"/>
  <c r="G2035" i="1" s="1"/>
  <c r="H2032" i="1" a="1"/>
  <c r="H2032" i="1"/>
  <c r="H2034" i="1" a="1"/>
  <c r="H2034" i="1"/>
  <c r="G2032" i="1" a="1"/>
  <c r="G2032" i="1"/>
  <c r="G2030" i="1" a="1"/>
  <c r="G2030" i="1" s="1"/>
  <c r="K2030" i="1" a="1"/>
  <c r="K2030" i="1"/>
  <c r="J2029" i="1" a="1"/>
  <c r="J2029" i="1"/>
  <c r="J2035" i="1" a="1"/>
  <c r="J2035" i="1"/>
  <c r="G2027" i="1" a="1"/>
  <c r="G2027" i="1"/>
  <c r="F2029" i="1" a="1"/>
  <c r="F2029" i="1"/>
  <c r="K2036" i="1" a="1"/>
  <c r="K2036" i="1" s="1"/>
  <c r="F2034" i="1" a="1"/>
  <c r="F2034" i="1" s="1"/>
  <c r="K2032" i="1" a="1"/>
  <c r="K2032" i="1"/>
  <c r="H2027" i="1" a="1"/>
  <c r="H2027" i="1" s="1"/>
  <c r="H2026" i="1" s="1" a="1"/>
  <c r="J2031" i="1" a="1"/>
  <c r="J2031" i="1" s="1"/>
  <c r="J2036" i="1" a="1"/>
  <c r="J2036" i="1"/>
  <c r="K2035" i="1" a="1"/>
  <c r="K2035" i="1" s="1"/>
  <c r="I2035" i="1" a="1"/>
  <c r="I2035" i="1" s="1"/>
  <c r="G2018" i="1" a="1"/>
  <c r="G2018" i="1" s="1"/>
  <c r="G2021" i="1" a="1"/>
  <c r="G2021" i="1"/>
  <c r="J2021" i="1" a="1"/>
  <c r="J2021" i="1"/>
  <c r="G2026" i="1" a="1"/>
  <c r="G2026" i="1" s="1"/>
  <c r="F2024" i="1" a="1"/>
  <c r="F2024" i="1" s="1"/>
  <c r="F2023" i="1" s="1" a="1"/>
  <c r="F2023" i="1" s="1"/>
  <c r="I2024" i="1" a="1"/>
  <c r="I2024" i="1" s="1"/>
  <c r="I2023" i="1" s="1" a="1"/>
  <c r="I2023" i="1" s="1"/>
  <c r="G2020" i="1" a="1"/>
  <c r="G2020" i="1"/>
  <c r="K2024" i="1" a="1"/>
  <c r="K2024" i="1" s="1"/>
  <c r="K2023" i="1" s="1" a="1"/>
  <c r="K2023" i="1" s="1"/>
  <c r="K2021" i="1" a="1"/>
  <c r="K2021" i="1"/>
  <c r="K2020" i="1" a="1"/>
  <c r="K2020" i="1"/>
  <c r="H2020" i="1" a="1"/>
  <c r="H2020" i="1"/>
  <c r="J2018" i="1" a="1"/>
  <c r="J2018" i="1" s="1"/>
  <c r="J2020" i="1" a="1"/>
  <c r="J2020" i="1"/>
  <c r="F2020" i="1" a="1"/>
  <c r="F2020" i="1" s="1"/>
  <c r="J2026" i="1" a="1"/>
  <c r="J2026" i="1" s="1"/>
  <c r="H2026" i="1"/>
  <c r="F2026" i="1" a="1"/>
  <c r="F2026" i="1"/>
  <c r="H2018" i="1" a="1"/>
  <c r="H2018" i="1" s="1"/>
  <c r="K2018" i="1" a="1"/>
  <c r="K2018" i="1"/>
  <c r="J2024" i="1" a="1"/>
  <c r="J2024" i="1"/>
  <c r="J2023" i="1" s="1" a="1"/>
  <c r="J2023" i="1" s="1"/>
  <c r="I2020" i="1" a="1"/>
  <c r="I2020" i="1"/>
  <c r="I2021" i="1" a="1"/>
  <c r="I2021" i="1" s="1"/>
  <c r="H2021" i="1" a="1"/>
  <c r="H2021" i="1" s="1"/>
  <c r="H2024" i="1" a="1"/>
  <c r="H2024" i="1" s="1"/>
  <c r="G2024" i="1" a="1"/>
  <c r="G2024" i="1" s="1"/>
  <c r="G2023" i="1" s="1" a="1"/>
  <c r="G2023" i="1" s="1"/>
  <c r="I2018" i="1" a="1"/>
  <c r="I2018" i="1" s="1"/>
  <c r="F2021" i="1" a="1"/>
  <c r="F2021" i="1"/>
  <c r="F2018" i="1" a="1"/>
  <c r="F2018" i="1" s="1"/>
  <c r="H2023" i="1" a="1"/>
  <c r="H2023" i="1"/>
  <c r="G1704" i="1" a="1"/>
  <c r="G1704" i="1" s="1"/>
  <c r="K1703" i="1" a="1"/>
  <c r="K1703" i="1" s="1"/>
  <c r="F1704" i="1" a="1"/>
  <c r="F1704" i="1" s="1"/>
  <c r="J1703" i="1" a="1"/>
  <c r="J1703" i="1"/>
  <c r="G1703" i="1" a="1"/>
  <c r="G1703" i="1" s="1"/>
  <c r="J1704" i="1" a="1"/>
  <c r="J1704" i="1" s="1"/>
  <c r="I1703" i="1" a="1"/>
  <c r="I1703" i="1"/>
  <c r="H1703" i="1" a="1"/>
  <c r="H1703" i="1"/>
  <c r="K1704" i="1" a="1"/>
  <c r="K1704" i="1" s="1"/>
  <c r="F1703" i="1" a="1"/>
  <c r="F1703" i="1" s="1"/>
  <c r="H1704" i="1" a="1"/>
  <c r="H1704" i="1"/>
  <c r="I1704" i="1" a="1"/>
  <c r="I1704" i="1" s="1"/>
  <c r="H738" i="1" a="1"/>
  <c r="H738" i="1" s="1"/>
  <c r="J738" i="1" a="1"/>
  <c r="J738" i="1"/>
  <c r="I741" i="1" a="1"/>
  <c r="I741" i="1" s="1"/>
  <c r="K738" i="1" a="1"/>
  <c r="K738" i="1" s="1"/>
  <c r="J741" i="1" a="1"/>
  <c r="J741" i="1"/>
  <c r="G741" i="1" a="1"/>
  <c r="G741" i="1" s="1"/>
  <c r="G738" i="1" a="1"/>
  <c r="G738" i="1" s="1"/>
  <c r="F741" i="1" a="1"/>
  <c r="F741" i="1"/>
  <c r="H741" i="1" a="1"/>
  <c r="H741" i="1"/>
  <c r="I738" i="1" a="1"/>
  <c r="I738" i="1"/>
  <c r="K741" i="1" a="1"/>
  <c r="K741" i="1" s="1"/>
  <c r="F738" i="1" a="1"/>
  <c r="F738" i="1"/>
  <c r="G740" i="1" a="1"/>
  <c r="G740" i="1" s="1"/>
  <c r="G742" i="1" s="1" a="1"/>
  <c r="G742" i="1" s="1"/>
  <c r="G717" i="1" a="1"/>
  <c r="G717" i="1"/>
  <c r="G718" i="1" a="1"/>
  <c r="G718" i="1"/>
  <c r="G724" i="1" s="1" a="1"/>
  <c r="G724" i="1" s="1"/>
  <c r="G726" i="1" s="1" a="1"/>
  <c r="G726" i="1" s="1"/>
  <c r="H722" i="1" a="1"/>
  <c r="H722" i="1" s="1"/>
  <c r="K717" i="1" a="1"/>
  <c r="K717" i="1"/>
  <c r="F717" i="1" a="1"/>
  <c r="F717" i="1" s="1"/>
  <c r="I722" i="1" a="1"/>
  <c r="I722" i="1" s="1"/>
  <c r="J725" i="1" a="1"/>
  <c r="J725" i="1"/>
  <c r="J718" i="1" a="1"/>
  <c r="J718" i="1"/>
  <c r="I725" i="1" a="1"/>
  <c r="I725" i="1" s="1"/>
  <c r="K725" i="1" a="1"/>
  <c r="K725" i="1"/>
  <c r="G722" i="1" a="1"/>
  <c r="G722" i="1" s="1"/>
  <c r="K722" i="1" a="1"/>
  <c r="K722" i="1"/>
  <c r="H717" i="1" a="1"/>
  <c r="H717" i="1"/>
  <c r="F718" i="1" a="1"/>
  <c r="F718" i="1"/>
  <c r="I718" i="1" a="1"/>
  <c r="I718" i="1" s="1"/>
  <c r="I717" i="1" a="1"/>
  <c r="I717" i="1" s="1"/>
  <c r="H725" i="1" a="1"/>
  <c r="H725" i="1" s="1"/>
  <c r="G725" i="1" a="1"/>
  <c r="G725" i="1" s="1"/>
  <c r="J722" i="1" a="1"/>
  <c r="J722" i="1" s="1"/>
  <c r="H718" i="1" a="1"/>
  <c r="H718" i="1"/>
  <c r="K718" i="1" a="1"/>
  <c r="K718" i="1"/>
  <c r="F722" i="1" a="1"/>
  <c r="F722" i="1" s="1"/>
  <c r="F725" i="1" a="1"/>
  <c r="F725" i="1"/>
  <c r="J717" i="1" a="1"/>
  <c r="J717" i="1" s="1"/>
  <c r="G709" i="1" a="1"/>
  <c r="G709" i="1"/>
  <c r="K686" i="1" a="1"/>
  <c r="K686" i="1"/>
  <c r="G714" i="1" a="1"/>
  <c r="G714" i="1" s="1"/>
  <c r="F714" i="1" a="1"/>
  <c r="F714" i="1"/>
  <c r="J709" i="1" a="1"/>
  <c r="J709" i="1"/>
  <c r="F694" i="1" a="1"/>
  <c r="F694" i="1" s="1"/>
  <c r="K695" i="1" a="1"/>
  <c r="K695" i="1" s="1"/>
  <c r="G695" i="1" a="1"/>
  <c r="G695" i="1"/>
  <c r="H716" i="1" a="1"/>
  <c r="H716" i="1" s="1"/>
  <c r="H695" i="1" a="1"/>
  <c r="H695" i="1" s="1"/>
  <c r="J714" i="1" a="1"/>
  <c r="J714" i="1" s="1"/>
  <c r="H714" i="1" a="1"/>
  <c r="H714" i="1" s="1"/>
  <c r="H707" i="1" a="1"/>
  <c r="H707" i="1"/>
  <c r="I709" i="1" a="1"/>
  <c r="I709" i="1"/>
  <c r="K709" i="1" a="1"/>
  <c r="K709" i="1"/>
  <c r="G694" i="1" a="1"/>
  <c r="G694" i="1" s="1"/>
  <c r="J695" i="1" a="1"/>
  <c r="J695" i="1" s="1"/>
  <c r="I686" i="1" a="1"/>
  <c r="I686" i="1" s="1"/>
  <c r="K694" i="1" a="1"/>
  <c r="K694" i="1"/>
  <c r="I695" i="1" a="1"/>
  <c r="I695" i="1" s="1"/>
  <c r="J716" i="1" a="1"/>
  <c r="J716" i="1"/>
  <c r="J740" i="1" s="1" a="1"/>
  <c r="J740" i="1" s="1"/>
  <c r="J742" i="1" s="1" a="1"/>
  <c r="J742" i="1" s="1"/>
  <c r="H686" i="1" a="1"/>
  <c r="H686" i="1"/>
  <c r="H694" i="1" a="1"/>
  <c r="H694" i="1"/>
  <c r="G716" i="1" a="1"/>
  <c r="G716" i="1"/>
  <c r="I714" i="1" a="1"/>
  <c r="I714" i="1"/>
  <c r="H709" i="1" a="1"/>
  <c r="H709" i="1" s="1"/>
  <c r="F695" i="1" a="1"/>
  <c r="F695" i="1" s="1"/>
  <c r="J694" i="1" a="1"/>
  <c r="J694" i="1"/>
  <c r="J707" i="1" a="1"/>
  <c r="J707" i="1"/>
  <c r="F716" i="1" a="1"/>
  <c r="F716" i="1" s="1"/>
  <c r="I694" i="1" a="1"/>
  <c r="I694" i="1" s="1"/>
  <c r="F707" i="1" a="1"/>
  <c r="F707" i="1" s="1"/>
  <c r="J686" i="1" a="1"/>
  <c r="J686" i="1" s="1"/>
  <c r="K707" i="1" a="1"/>
  <c r="K707" i="1"/>
  <c r="I707" i="1" a="1"/>
  <c r="I707" i="1"/>
  <c r="K716" i="1" a="1"/>
  <c r="K716" i="1"/>
  <c r="I716" i="1" a="1"/>
  <c r="I716" i="1" s="1"/>
  <c r="K714" i="1" a="1"/>
  <c r="K714" i="1" s="1"/>
  <c r="F709" i="1" a="1"/>
  <c r="F709" i="1" s="1"/>
  <c r="G707" i="1" a="1"/>
  <c r="G707" i="1"/>
  <c r="G680" i="1" a="1"/>
  <c r="G680" i="1" s="1"/>
  <c r="I685" i="1" a="1"/>
  <c r="I685" i="1"/>
  <c r="H685" i="1" a="1"/>
  <c r="H685" i="1"/>
  <c r="G685" i="1" a="1"/>
  <c r="G685" i="1"/>
  <c r="F679" i="1" a="1"/>
  <c r="F679" i="1"/>
  <c r="J679" i="1" a="1"/>
  <c r="J679" i="1"/>
  <c r="K683" i="1" a="1"/>
  <c r="K683" i="1" s="1"/>
  <c r="H679" i="1" a="1"/>
  <c r="H679" i="1" s="1"/>
  <c r="H683" i="1" a="1"/>
  <c r="H683" i="1"/>
  <c r="I681" i="1" a="1"/>
  <c r="I681" i="1"/>
  <c r="G683" i="1" a="1"/>
  <c r="G683" i="1" s="1"/>
  <c r="K681" i="1" a="1"/>
  <c r="K681" i="1" s="1"/>
  <c r="I680" i="1" a="1"/>
  <c r="I680" i="1" s="1"/>
  <c r="J664" i="1" a="1"/>
  <c r="J664" i="1"/>
  <c r="G681" i="1" a="1"/>
  <c r="G681" i="1"/>
  <c r="H680" i="1" a="1"/>
  <c r="H680" i="1"/>
  <c r="J680" i="1" a="1"/>
  <c r="J680" i="1" s="1"/>
  <c r="K679" i="1" a="1"/>
  <c r="K679" i="1" s="1"/>
  <c r="K680" i="1" a="1"/>
  <c r="K680" i="1" s="1"/>
  <c r="I664" i="1" a="1"/>
  <c r="I664" i="1" s="1"/>
  <c r="F685" i="1" a="1"/>
  <c r="F685" i="1"/>
  <c r="J683" i="1" a="1"/>
  <c r="J683" i="1" s="1"/>
  <c r="K664" i="1" a="1"/>
  <c r="K664" i="1"/>
  <c r="G686" i="1" a="1"/>
  <c r="G686" i="1"/>
  <c r="J681" i="1" a="1"/>
  <c r="J681" i="1"/>
  <c r="F683" i="1" a="1"/>
  <c r="F683" i="1" s="1"/>
  <c r="H681" i="1" a="1"/>
  <c r="H681" i="1" s="1"/>
  <c r="F686" i="1" a="1"/>
  <c r="F686" i="1"/>
  <c r="K685" i="1" a="1"/>
  <c r="K685" i="1" s="1"/>
  <c r="J685" i="1" a="1"/>
  <c r="J685" i="1"/>
  <c r="I683" i="1" a="1"/>
  <c r="I683" i="1"/>
  <c r="F681" i="1" a="1"/>
  <c r="F681" i="1" s="1"/>
  <c r="F680" i="1" a="1"/>
  <c r="F680" i="1" s="1"/>
  <c r="I679" i="1" a="1"/>
  <c r="I679" i="1"/>
  <c r="G679" i="1" a="1"/>
  <c r="G679" i="1"/>
  <c r="I648" i="1" a="1"/>
  <c r="I648" i="1"/>
  <c r="F648" i="1" a="1"/>
  <c r="F648" i="1" s="1"/>
  <c r="G651" i="1" a="1"/>
  <c r="G651" i="1"/>
  <c r="K650" i="1" a="1"/>
  <c r="K650" i="1" s="1"/>
  <c r="F663" i="1" a="1"/>
  <c r="F663" i="1" s="1"/>
  <c r="H650" i="1" a="1"/>
  <c r="H650" i="1" s="1"/>
  <c r="K662" i="1" a="1"/>
  <c r="K662" i="1"/>
  <c r="J662" i="1" a="1"/>
  <c r="J662" i="1" s="1"/>
  <c r="H662" i="1" a="1"/>
  <c r="H662" i="1"/>
  <c r="F647" i="1" a="1"/>
  <c r="F647" i="1"/>
  <c r="K651" i="1" a="1"/>
  <c r="K651" i="1"/>
  <c r="K645" i="1" a="1"/>
  <c r="K645" i="1" s="1"/>
  <c r="I650" i="1" a="1"/>
  <c r="I650" i="1"/>
  <c r="G650" i="1" a="1"/>
  <c r="G650" i="1"/>
  <c r="F646" i="1" a="1"/>
  <c r="F646" i="1" s="1"/>
  <c r="H648" i="1" a="1"/>
  <c r="H648" i="1"/>
  <c r="H646" i="1" a="1"/>
  <c r="H646" i="1"/>
  <c r="K648" i="1" a="1"/>
  <c r="K648" i="1" s="1"/>
  <c r="H664" i="1" a="1"/>
  <c r="H664" i="1"/>
  <c r="G664" i="1" a="1"/>
  <c r="G664" i="1"/>
  <c r="F664" i="1" a="1"/>
  <c r="F664" i="1" s="1"/>
  <c r="G663" i="1" a="1"/>
  <c r="G663" i="1" s="1"/>
  <c r="I646" i="1" a="1"/>
  <c r="I646" i="1" s="1"/>
  <c r="F650" i="1" a="1"/>
  <c r="F650" i="1"/>
  <c r="G647" i="1" a="1"/>
  <c r="G647" i="1" s="1"/>
  <c r="H647" i="1" a="1"/>
  <c r="H647" i="1" s="1"/>
  <c r="I651" i="1" a="1"/>
  <c r="I651" i="1" s="1"/>
  <c r="F651" i="1" a="1"/>
  <c r="F651" i="1"/>
  <c r="J650" i="1" a="1"/>
  <c r="J650" i="1"/>
  <c r="I647" i="1" a="1"/>
  <c r="I647" i="1"/>
  <c r="I645" i="1" a="1"/>
  <c r="I645" i="1"/>
  <c r="H663" i="1" a="1"/>
  <c r="H663" i="1" s="1"/>
  <c r="J651" i="1" a="1"/>
  <c r="J651" i="1"/>
  <c r="H651" i="1" a="1"/>
  <c r="H651" i="1"/>
  <c r="J648" i="1" a="1"/>
  <c r="J648" i="1"/>
  <c r="G648" i="1" a="1"/>
  <c r="G648" i="1" s="1"/>
  <c r="J646" i="1" a="1"/>
  <c r="J646" i="1"/>
  <c r="J645" i="1" a="1"/>
  <c r="J645" i="1"/>
  <c r="G646" i="1" a="1"/>
  <c r="G646" i="1"/>
  <c r="I663" i="1" a="1"/>
  <c r="I663" i="1"/>
  <c r="J647" i="1" a="1"/>
  <c r="J647" i="1" s="1"/>
  <c r="K663" i="1" a="1"/>
  <c r="K663" i="1" s="1"/>
  <c r="G662" i="1" a="1"/>
  <c r="G662" i="1"/>
  <c r="K646" i="1" a="1"/>
  <c r="K646" i="1" s="1"/>
  <c r="F662" i="1" a="1"/>
  <c r="F662" i="1"/>
  <c r="I662" i="1" a="1"/>
  <c r="I662" i="1" s="1"/>
  <c r="K647" i="1" a="1"/>
  <c r="K647" i="1" s="1"/>
  <c r="J663" i="1" a="1"/>
  <c r="J663" i="1" s="1"/>
  <c r="G641" i="1" a="1"/>
  <c r="G641" i="1"/>
  <c r="J640" i="1" a="1"/>
  <c r="J640" i="1"/>
  <c r="J636" i="1" a="1"/>
  <c r="J636" i="1"/>
  <c r="H640" i="1" a="1"/>
  <c r="H640" i="1" s="1"/>
  <c r="K638" i="1" a="1"/>
  <c r="K638" i="1" s="1"/>
  <c r="K640" i="1" a="1"/>
  <c r="K640" i="1"/>
  <c r="I640" i="1" a="1"/>
  <c r="I640" i="1"/>
  <c r="F641" i="1" a="1"/>
  <c r="F641" i="1"/>
  <c r="K637" i="1" a="1"/>
  <c r="K637" i="1" s="1"/>
  <c r="H635" i="1" a="1"/>
  <c r="H635" i="1"/>
  <c r="K641" i="1" a="1"/>
  <c r="K641" i="1"/>
  <c r="G640" i="1" a="1"/>
  <c r="G640" i="1"/>
  <c r="I637" i="1" a="1"/>
  <c r="I637" i="1" s="1"/>
  <c r="I635" i="1" a="1"/>
  <c r="I635" i="1" s="1"/>
  <c r="H641" i="1" a="1"/>
  <c r="H641" i="1"/>
  <c r="H636" i="1" a="1"/>
  <c r="H636" i="1"/>
  <c r="H638" i="1" a="1"/>
  <c r="H638" i="1" s="1"/>
  <c r="J638" i="1" a="1"/>
  <c r="J638" i="1"/>
  <c r="F636" i="1" a="1"/>
  <c r="F636" i="1" s="1"/>
  <c r="F635" i="1" a="1"/>
  <c r="F635" i="1" s="1"/>
  <c r="G636" i="1" a="1"/>
  <c r="G636" i="1"/>
  <c r="K636" i="1" a="1"/>
  <c r="K636" i="1"/>
  <c r="I641" i="1" a="1"/>
  <c r="I641" i="1" s="1"/>
  <c r="I643" i="1" a="1"/>
  <c r="I643" i="1" s="1"/>
  <c r="F638" i="1" a="1"/>
  <c r="F638" i="1" s="1"/>
  <c r="F645" i="1" a="1"/>
  <c r="F645" i="1" s="1"/>
  <c r="J635" i="1" a="1"/>
  <c r="J635" i="1"/>
  <c r="I638" i="1" a="1"/>
  <c r="I638" i="1"/>
  <c r="H645" i="1" a="1"/>
  <c r="H645" i="1"/>
  <c r="G645" i="1" a="1"/>
  <c r="G645" i="1" s="1"/>
  <c r="G637" i="1" a="1"/>
  <c r="G637" i="1"/>
  <c r="F637" i="1" a="1"/>
  <c r="F637" i="1"/>
  <c r="I636" i="1" a="1"/>
  <c r="I636" i="1" s="1"/>
  <c r="K643" i="1" a="1"/>
  <c r="K643" i="1" s="1"/>
  <c r="J643" i="1" a="1"/>
  <c r="J643" i="1"/>
  <c r="J641" i="1" a="1"/>
  <c r="J641" i="1"/>
  <c r="H643" i="1" a="1"/>
  <c r="H643" i="1"/>
  <c r="G643" i="1" a="1"/>
  <c r="G643" i="1" s="1"/>
  <c r="F640" i="1" a="1"/>
  <c r="F640" i="1"/>
  <c r="K635" i="1" a="1"/>
  <c r="K635" i="1" s="1"/>
  <c r="H637" i="1" a="1"/>
  <c r="H637" i="1"/>
  <c r="G635" i="1" a="1"/>
  <c r="G635" i="1"/>
  <c r="F643" i="1" a="1"/>
  <c r="F643" i="1"/>
  <c r="J637" i="1" a="1"/>
  <c r="J637" i="1" s="1"/>
  <c r="G638" i="1" a="1"/>
  <c r="G638" i="1" s="1"/>
  <c r="G625" i="1" a="1"/>
  <c r="G625" i="1" s="1"/>
  <c r="H628" i="1" a="1"/>
  <c r="H628" i="1" s="1"/>
  <c r="I626" i="1" a="1"/>
  <c r="I626" i="1"/>
  <c r="J627" i="1" a="1"/>
  <c r="J627" i="1"/>
  <c r="H625" i="1" a="1"/>
  <c r="H625" i="1"/>
  <c r="K633" i="1" a="1"/>
  <c r="K633" i="1"/>
  <c r="J633" i="1" a="1"/>
  <c r="J633" i="1"/>
  <c r="J630" i="1" a="1"/>
  <c r="J630" i="1"/>
  <c r="K625" i="1" a="1"/>
  <c r="K625" i="1" s="1"/>
  <c r="G623" i="1" a="1"/>
  <c r="G623" i="1" s="1"/>
  <c r="G633" i="1" a="1"/>
  <c r="G633" i="1"/>
  <c r="J631" i="1" a="1"/>
  <c r="J631" i="1"/>
  <c r="K630" i="1" a="1"/>
  <c r="K630" i="1"/>
  <c r="J626" i="1" a="1"/>
  <c r="J626" i="1" s="1"/>
  <c r="K628" i="1" a="1"/>
  <c r="K628" i="1"/>
  <c r="G627" i="1" a="1"/>
  <c r="G627" i="1"/>
  <c r="F623" i="1" a="1"/>
  <c r="F623" i="1"/>
  <c r="I621" i="1" a="1"/>
  <c r="I621" i="1" s="1"/>
  <c r="I628" i="1" a="1"/>
  <c r="I628" i="1" s="1"/>
  <c r="I633" i="1" a="1"/>
  <c r="I633" i="1" s="1"/>
  <c r="H633" i="1" a="1"/>
  <c r="H633" i="1" s="1"/>
  <c r="F633" i="1" a="1"/>
  <c r="F633" i="1" s="1"/>
  <c r="F625" i="1" a="1"/>
  <c r="F625" i="1" s="1"/>
  <c r="I625" i="1" a="1"/>
  <c r="I625" i="1"/>
  <c r="K631" i="1" a="1"/>
  <c r="K631" i="1"/>
  <c r="F626" i="1" a="1"/>
  <c r="F626" i="1"/>
  <c r="I631" i="1" a="1"/>
  <c r="I631" i="1"/>
  <c r="H631" i="1" a="1"/>
  <c r="H631" i="1"/>
  <c r="G631" i="1" a="1"/>
  <c r="G631" i="1" s="1"/>
  <c r="F631" i="1" a="1"/>
  <c r="F631" i="1"/>
  <c r="I627" i="1" a="1"/>
  <c r="I627" i="1" s="1"/>
  <c r="H623" i="1" a="1"/>
  <c r="H623" i="1"/>
  <c r="F630" i="1" a="1"/>
  <c r="F630" i="1"/>
  <c r="F627" i="1" a="1"/>
  <c r="F627" i="1"/>
  <c r="K626" i="1" a="1"/>
  <c r="K626" i="1" s="1"/>
  <c r="H626" i="1" a="1"/>
  <c r="H626" i="1"/>
  <c r="G626" i="1" a="1"/>
  <c r="G626" i="1"/>
  <c r="K621" i="1" a="1"/>
  <c r="K621" i="1" s="1"/>
  <c r="J625" i="1" a="1"/>
  <c r="J625" i="1" s="1"/>
  <c r="K627" i="1" a="1"/>
  <c r="K627" i="1"/>
  <c r="I630" i="1" a="1"/>
  <c r="I630" i="1" s="1"/>
  <c r="G630" i="1" a="1"/>
  <c r="G630" i="1" s="1"/>
  <c r="J628" i="1" a="1"/>
  <c r="J628" i="1" s="1"/>
  <c r="H627" i="1" a="1"/>
  <c r="H627" i="1" s="1"/>
  <c r="H630" i="1" a="1"/>
  <c r="H630" i="1"/>
  <c r="K623" i="1" a="1"/>
  <c r="K623" i="1"/>
  <c r="G628" i="1" a="1"/>
  <c r="G628" i="1"/>
  <c r="I623" i="1" a="1"/>
  <c r="I623" i="1" s="1"/>
  <c r="J621" i="1" a="1"/>
  <c r="J621" i="1" s="1"/>
  <c r="F628" i="1" a="1"/>
  <c r="F628" i="1" s="1"/>
  <c r="J623" i="1" a="1"/>
  <c r="J623" i="1"/>
  <c r="K605" i="1" a="1"/>
  <c r="K605" i="1" s="1"/>
  <c r="H616" i="1" a="1"/>
  <c r="H616" i="1"/>
  <c r="G616" i="1" a="1"/>
  <c r="G616" i="1"/>
  <c r="I615" i="1" a="1"/>
  <c r="I615" i="1"/>
  <c r="G608" i="1" a="1"/>
  <c r="G608" i="1"/>
  <c r="F618" i="1" a="1"/>
  <c r="F618" i="1"/>
  <c r="I620" i="1" a="1"/>
  <c r="I620" i="1" s="1"/>
  <c r="J618" i="1" a="1"/>
  <c r="J618" i="1" s="1"/>
  <c r="F620" i="1" a="1"/>
  <c r="F620" i="1"/>
  <c r="G615" i="1" a="1"/>
  <c r="G615" i="1"/>
  <c r="G617" i="1" a="1"/>
  <c r="G617" i="1" s="1"/>
  <c r="J604" i="1" a="1"/>
  <c r="J604" i="1" s="1"/>
  <c r="I618" i="1" a="1"/>
  <c r="I618" i="1" s="1"/>
  <c r="G618" i="1" a="1"/>
  <c r="G618" i="1" s="1"/>
  <c r="K617" i="1" a="1"/>
  <c r="K617" i="1"/>
  <c r="H617" i="1" a="1"/>
  <c r="H617" i="1"/>
  <c r="J616" i="1" a="1"/>
  <c r="J616" i="1"/>
  <c r="F616" i="1" a="1"/>
  <c r="F616" i="1" s="1"/>
  <c r="K607" i="1" a="1"/>
  <c r="K607" i="1" s="1"/>
  <c r="H607" i="1" a="1"/>
  <c r="H607" i="1" s="1"/>
  <c r="F608" i="1" a="1"/>
  <c r="F608" i="1"/>
  <c r="F615" i="1" a="1"/>
  <c r="F615" i="1" s="1"/>
  <c r="H608" i="1" a="1"/>
  <c r="H608" i="1"/>
  <c r="H620" i="1" a="1"/>
  <c r="H620" i="1"/>
  <c r="J607" i="1" a="1"/>
  <c r="J607" i="1"/>
  <c r="G620" i="1" a="1"/>
  <c r="G620" i="1"/>
  <c r="K604" i="1" a="1"/>
  <c r="K604" i="1"/>
  <c r="K618" i="1" a="1"/>
  <c r="K618" i="1" s="1"/>
  <c r="G605" i="1" a="1"/>
  <c r="G605" i="1" s="1"/>
  <c r="H618" i="1" a="1"/>
  <c r="H618" i="1"/>
  <c r="I604" i="1" a="1"/>
  <c r="I604" i="1"/>
  <c r="H621" i="1" a="1"/>
  <c r="H621" i="1" s="1"/>
  <c r="J617" i="1" a="1"/>
  <c r="J617" i="1" s="1"/>
  <c r="J605" i="1" a="1"/>
  <c r="J605" i="1" s="1"/>
  <c r="I616" i="1" a="1"/>
  <c r="I616" i="1"/>
  <c r="K615" i="1" a="1"/>
  <c r="K615" i="1"/>
  <c r="J615" i="1" a="1"/>
  <c r="J615" i="1"/>
  <c r="I608" i="1" a="1"/>
  <c r="I608" i="1" s="1"/>
  <c r="F607" i="1" a="1"/>
  <c r="F607" i="1" s="1"/>
  <c r="G621" i="1" a="1"/>
  <c r="G621" i="1" s="1"/>
  <c r="I617" i="1" a="1"/>
  <c r="I617" i="1" s="1"/>
  <c r="K616" i="1" a="1"/>
  <c r="K616" i="1"/>
  <c r="H615" i="1" a="1"/>
  <c r="H615" i="1" s="1"/>
  <c r="H605" i="1" a="1"/>
  <c r="H605" i="1"/>
  <c r="J608" i="1" a="1"/>
  <c r="J608" i="1"/>
  <c r="F617" i="1" a="1"/>
  <c r="F617" i="1"/>
  <c r="G607" i="1" a="1"/>
  <c r="G607" i="1" s="1"/>
  <c r="F621" i="1" a="1"/>
  <c r="F621" i="1" s="1"/>
  <c r="K620" i="1" a="1"/>
  <c r="K620" i="1"/>
  <c r="J620" i="1" a="1"/>
  <c r="J620" i="1" s="1"/>
  <c r="I605" i="1" a="1"/>
  <c r="I605" i="1"/>
  <c r="K608" i="1" a="1"/>
  <c r="K608" i="1"/>
  <c r="F605" i="1" a="1"/>
  <c r="F605" i="1" s="1"/>
  <c r="I607" i="1" a="1"/>
  <c r="I607" i="1" s="1"/>
  <c r="J583" i="1" a="1"/>
  <c r="J583" i="1"/>
  <c r="H583" i="1" a="1"/>
  <c r="H583" i="1"/>
  <c r="H593" i="1" a="1"/>
  <c r="H593" i="1"/>
  <c r="K591" i="1" a="1"/>
  <c r="K591" i="1" s="1"/>
  <c r="H591" i="1" a="1"/>
  <c r="H591" i="1"/>
  <c r="K590" i="1" a="1"/>
  <c r="K590" i="1" s="1"/>
  <c r="J590" i="1" a="1"/>
  <c r="J590" i="1" s="1"/>
  <c r="I590" i="1" a="1"/>
  <c r="I590" i="1" s="1"/>
  <c r="H590" i="1" a="1"/>
  <c r="H590" i="1"/>
  <c r="I586" i="1" a="1"/>
  <c r="I586" i="1" s="1"/>
  <c r="H587" i="1" a="1"/>
  <c r="H587" i="1"/>
  <c r="K586" i="1" a="1"/>
  <c r="K586" i="1"/>
  <c r="I583" i="1" a="1"/>
  <c r="I583" i="1"/>
  <c r="F583" i="1" a="1"/>
  <c r="F583" i="1" s="1"/>
  <c r="I582" i="1" a="1"/>
  <c r="I582" i="1"/>
  <c r="G583" i="1" a="1"/>
  <c r="G583" i="1"/>
  <c r="G582" i="1" a="1"/>
  <c r="G582" i="1" s="1"/>
  <c r="I587" i="1" a="1"/>
  <c r="I587" i="1"/>
  <c r="I591" i="1" a="1"/>
  <c r="I591" i="1"/>
  <c r="F590" i="1" a="1"/>
  <c r="F590" i="1" s="1"/>
  <c r="K587" i="1" a="1"/>
  <c r="K587" i="1" s="1"/>
  <c r="K593" i="1" a="1"/>
  <c r="K593" i="1"/>
  <c r="J593" i="1" a="1"/>
  <c r="J593" i="1" s="1"/>
  <c r="K594" i="1" a="1"/>
  <c r="K594" i="1" s="1"/>
  <c r="J591" i="1" a="1"/>
  <c r="J591" i="1" s="1"/>
  <c r="F587" i="1" a="1"/>
  <c r="F587" i="1"/>
  <c r="J594" i="1" a="1"/>
  <c r="J594" i="1" s="1"/>
  <c r="I594" i="1" a="1"/>
  <c r="I594" i="1" s="1"/>
  <c r="F591" i="1" a="1"/>
  <c r="F591" i="1" s="1"/>
  <c r="J587" i="1" a="1"/>
  <c r="J587" i="1"/>
  <c r="G586" i="1" a="1"/>
  <c r="G586" i="1" s="1"/>
  <c r="H582" i="1" a="1"/>
  <c r="H582" i="1"/>
  <c r="K582" i="1" a="1"/>
  <c r="K582" i="1"/>
  <c r="G591" i="1" a="1"/>
  <c r="G591" i="1" s="1"/>
  <c r="H594" i="1" a="1"/>
  <c r="H594" i="1"/>
  <c r="G594" i="1" a="1"/>
  <c r="G594" i="1"/>
  <c r="F594" i="1" a="1"/>
  <c r="F594" i="1"/>
  <c r="J582" i="1" a="1"/>
  <c r="J582" i="1" s="1"/>
  <c r="I593" i="1" a="1"/>
  <c r="I593" i="1"/>
  <c r="G593" i="1" a="1"/>
  <c r="G593" i="1"/>
  <c r="F582" i="1" a="1"/>
  <c r="F582" i="1" s="1"/>
  <c r="F593" i="1" a="1"/>
  <c r="F593" i="1"/>
  <c r="G590" i="1" a="1"/>
  <c r="G590" i="1" s="1"/>
  <c r="J586" i="1" a="1"/>
  <c r="J586" i="1" s="1"/>
  <c r="K583" i="1" a="1"/>
  <c r="K583" i="1"/>
  <c r="G587" i="1" a="1"/>
  <c r="G587" i="1" s="1"/>
  <c r="H586" i="1" a="1"/>
  <c r="H586" i="1"/>
  <c r="F586" i="1" a="1"/>
  <c r="F586" i="1" s="1"/>
  <c r="K31" i="1" a="1"/>
  <c r="K31" i="1" s="1"/>
  <c r="G31" i="1" a="1"/>
  <c r="G31" i="1" s="1"/>
  <c r="F31" i="1" a="1"/>
  <c r="F31" i="1"/>
  <c r="J31" i="1" a="1"/>
  <c r="J31" i="1"/>
  <c r="H31" i="1" a="1"/>
  <c r="H31" i="1"/>
  <c r="I31" i="1" a="1"/>
  <c r="I31" i="1" s="1"/>
  <c r="K30" i="1" a="1"/>
  <c r="K30" i="1" s="1"/>
  <c r="F30" i="1" a="1"/>
  <c r="F30" i="1"/>
  <c r="J30" i="1" a="1"/>
  <c r="J30" i="1"/>
  <c r="I30" i="1" a="1"/>
  <c r="I30" i="1"/>
  <c r="G30" i="1" a="1"/>
  <c r="G30" i="1" s="1"/>
  <c r="H30" i="1" a="1"/>
  <c r="H30" i="1"/>
  <c r="K601" i="1" a="1"/>
  <c r="K601" i="1"/>
  <c r="J601" i="1" a="1"/>
  <c r="J601" i="1"/>
  <c r="K600" i="1" a="1"/>
  <c r="K600" i="1" s="1"/>
  <c r="F601" i="1" a="1"/>
  <c r="F601" i="1" s="1"/>
  <c r="H600" i="1" a="1"/>
  <c r="H600" i="1"/>
  <c r="I601" i="1" a="1"/>
  <c r="I601" i="1"/>
  <c r="H601" i="1" a="1"/>
  <c r="H601" i="1" s="1"/>
  <c r="G601" i="1" a="1"/>
  <c r="G601" i="1"/>
  <c r="J600" i="1" a="1"/>
  <c r="J600" i="1" s="1"/>
  <c r="I600" i="1" a="1"/>
  <c r="I600" i="1" s="1"/>
  <c r="G600" i="1" a="1"/>
  <c r="G600" i="1" s="1"/>
  <c r="F600" i="1" a="1"/>
  <c r="F600" i="1"/>
  <c r="G604" i="1" a="1"/>
  <c r="G604" i="1" s="1"/>
  <c r="F604" i="1" a="1"/>
  <c r="F604" i="1" s="1"/>
  <c r="H604" i="1" a="1"/>
  <c r="H604" i="1" s="1"/>
  <c r="K19" i="1"/>
  <c r="K18" i="1" s="1"/>
  <c r="J19" i="1"/>
  <c r="I19" i="1"/>
  <c r="H19" i="1"/>
  <c r="G19" i="1"/>
  <c r="F19" i="1"/>
  <c r="J18" i="1"/>
  <c r="I18" i="1"/>
  <c r="H18" i="1"/>
  <c r="G18" i="1"/>
  <c r="F18" i="1"/>
  <c r="G282" i="1" a="1"/>
  <c r="G282" i="1"/>
  <c r="G381" i="1" s="1"/>
  <c r="G512" i="1" s="1"/>
  <c r="G240" i="1" a="1"/>
  <c r="G240" i="1" s="1"/>
  <c r="G315" i="1" s="1"/>
  <c r="G470" i="1" s="1"/>
  <c r="J273" i="1" a="1"/>
  <c r="J273" i="1" s="1"/>
  <c r="J272" i="1" s="1"/>
  <c r="K282" i="1" a="1"/>
  <c r="K282" i="1"/>
  <c r="K281" i="1" s="1"/>
  <c r="J282" i="1" a="1"/>
  <c r="J282" i="1"/>
  <c r="J281" i="1" s="1"/>
  <c r="J380" i="1" s="1"/>
  <c r="J511" i="1" s="1"/>
  <c r="G273" i="1" a="1"/>
  <c r="G273" i="1" s="1"/>
  <c r="I273" i="1" a="1"/>
  <c r="I273" i="1" s="1"/>
  <c r="F240" i="1" a="1"/>
  <c r="F240" i="1"/>
  <c r="F282" i="1" a="1"/>
  <c r="F282" i="1" s="1"/>
  <c r="H273" i="1" a="1"/>
  <c r="H273" i="1" s="1"/>
  <c r="K240" i="1" a="1"/>
  <c r="K240" i="1" s="1"/>
  <c r="J240" i="1" a="1"/>
  <c r="J240" i="1"/>
  <c r="J239" i="1" s="1"/>
  <c r="J314" i="1" s="1"/>
  <c r="J469" i="1" s="1"/>
  <c r="H282" i="1" a="1"/>
  <c r="H282" i="1" s="1"/>
  <c r="H281" i="1" s="1"/>
  <c r="H380" i="1" s="1"/>
  <c r="H511" i="1" s="1"/>
  <c r="F273" i="1" a="1"/>
  <c r="F273" i="1" s="1"/>
  <c r="F272" i="1" s="1"/>
  <c r="I282" i="1" a="1"/>
  <c r="I282" i="1" s="1"/>
  <c r="K273" i="1" a="1"/>
  <c r="K273" i="1" s="1"/>
  <c r="I240" i="1" a="1"/>
  <c r="I240" i="1"/>
  <c r="H240" i="1" a="1"/>
  <c r="H240" i="1"/>
  <c r="J138" i="1" a="1"/>
  <c r="J138" i="1"/>
  <c r="I197" i="1" a="1"/>
  <c r="I197" i="1" s="1"/>
  <c r="H197" i="1" a="1"/>
  <c r="H197" i="1"/>
  <c r="H360" i="1" s="1"/>
  <c r="H427" i="1" s="1"/>
  <c r="G197" i="1" a="1"/>
  <c r="G197" i="1"/>
  <c r="G360" i="1" s="1"/>
  <c r="G427" i="1" s="1"/>
  <c r="G139" i="1" a="1"/>
  <c r="G139" i="1" s="1"/>
  <c r="F197" i="1" a="1"/>
  <c r="F197" i="1" s="1"/>
  <c r="F196" i="1" s="1"/>
  <c r="F359" i="1" s="1"/>
  <c r="F426" i="1" s="1"/>
  <c r="K139" i="1" a="1"/>
  <c r="K139" i="1"/>
  <c r="F139" i="1" a="1"/>
  <c r="F139" i="1"/>
  <c r="K138" i="1" a="1"/>
  <c r="K138" i="1" s="1"/>
  <c r="J197" i="1" a="1"/>
  <c r="J197" i="1"/>
  <c r="H139" i="1" a="1"/>
  <c r="H139" i="1" s="1"/>
  <c r="K197" i="1" a="1"/>
  <c r="K197" i="1" s="1"/>
  <c r="K196" i="1" s="1"/>
  <c r="K359" i="1" s="1"/>
  <c r="K426" i="1" s="1"/>
  <c r="J139" i="1" a="1"/>
  <c r="J139" i="1" s="1"/>
  <c r="G136" i="1" a="1"/>
  <c r="G136" i="1" s="1"/>
  <c r="F137" i="1" a="1"/>
  <c r="F137" i="1"/>
  <c r="I138" i="1" a="1"/>
  <c r="I138" i="1" s="1"/>
  <c r="I137" i="1" a="1"/>
  <c r="I137" i="1" s="1"/>
  <c r="H138" i="1" a="1"/>
  <c r="H138" i="1" s="1"/>
  <c r="F138" i="1" a="1"/>
  <c r="F138" i="1"/>
  <c r="K137" i="1" a="1"/>
  <c r="K137" i="1"/>
  <c r="J136" i="1" a="1"/>
  <c r="J136" i="1" s="1"/>
  <c r="J137" i="1" a="1"/>
  <c r="J137" i="1"/>
  <c r="H137" i="1" a="1"/>
  <c r="H137" i="1" s="1"/>
  <c r="G137" i="1" a="1"/>
  <c r="G137" i="1"/>
  <c r="K136" i="1" a="1"/>
  <c r="K136" i="1" s="1"/>
  <c r="I136" i="1" a="1"/>
  <c r="I136" i="1"/>
  <c r="H136" i="1" a="1"/>
  <c r="H136" i="1"/>
  <c r="K51" i="1" a="1"/>
  <c r="K51" i="1" s="1"/>
  <c r="J60" i="1" a="1"/>
  <c r="J60" i="1"/>
  <c r="I60" i="1" a="1"/>
  <c r="I60" i="1" s="1"/>
  <c r="K59" i="1" a="1"/>
  <c r="K59" i="1" s="1"/>
  <c r="J57" i="1" a="1"/>
  <c r="J57" i="1" s="1"/>
  <c r="F57" i="1" a="1"/>
  <c r="F57" i="1"/>
  <c r="F59" i="1" a="1"/>
  <c r="F59" i="1"/>
  <c r="H51" i="1" a="1"/>
  <c r="H51" i="1" s="1"/>
  <c r="J53" i="1" a="1"/>
  <c r="J53" i="1" s="1"/>
  <c r="J51" i="1" a="1"/>
  <c r="J51" i="1" s="1"/>
  <c r="K52" i="1" a="1"/>
  <c r="K52" i="1"/>
  <c r="J59" i="1" a="1"/>
  <c r="J59" i="1"/>
  <c r="J58" i="1" a="1"/>
  <c r="J58" i="1"/>
  <c r="I58" i="1" a="1"/>
  <c r="I58" i="1" s="1"/>
  <c r="G51" i="1" a="1"/>
  <c r="G51" i="1" s="1"/>
  <c r="K53" i="1" a="1"/>
  <c r="K53" i="1" s="1"/>
  <c r="K60" i="1" a="1"/>
  <c r="K60" i="1"/>
  <c r="H60" i="1" a="1"/>
  <c r="H60" i="1" s="1"/>
  <c r="K57" i="1" a="1"/>
  <c r="K57" i="1"/>
  <c r="F60" i="1" a="1"/>
  <c r="F60" i="1"/>
  <c r="G58" i="1" a="1"/>
  <c r="G58" i="1"/>
  <c r="H52" i="1" a="1"/>
  <c r="H52" i="1" s="1"/>
  <c r="J50" i="1" a="1"/>
  <c r="J50" i="1"/>
  <c r="G59" i="1" a="1"/>
  <c r="G59" i="1" s="1"/>
  <c r="G53" i="1" a="1"/>
  <c r="G53" i="1" s="1"/>
  <c r="F53" i="1" a="1"/>
  <c r="F53" i="1"/>
  <c r="G60" i="1" a="1"/>
  <c r="G60" i="1"/>
  <c r="H59" i="1" a="1"/>
  <c r="H59" i="1" s="1"/>
  <c r="I59" i="1" a="1"/>
  <c r="I59" i="1" s="1"/>
  <c r="K58" i="1" a="1"/>
  <c r="K58" i="1" s="1"/>
  <c r="F58" i="1" a="1"/>
  <c r="F58" i="1" s="1"/>
  <c r="I51" i="1" a="1"/>
  <c r="I51" i="1"/>
  <c r="I53" i="1" a="1"/>
  <c r="I53" i="1"/>
  <c r="H58" i="1" a="1"/>
  <c r="H58" i="1"/>
  <c r="I57" i="1" a="1"/>
  <c r="I57" i="1" s="1"/>
  <c r="H57" i="1" a="1"/>
  <c r="H57" i="1" s="1"/>
  <c r="J52" i="1" a="1"/>
  <c r="J52" i="1" s="1"/>
  <c r="G52" i="1" a="1"/>
  <c r="G52" i="1"/>
  <c r="K50" i="1" a="1"/>
  <c r="K50" i="1" s="1"/>
  <c r="F51" i="1" a="1"/>
  <c r="F51" i="1"/>
  <c r="I50" i="1" a="1"/>
  <c r="I50" i="1"/>
  <c r="F52" i="1" a="1"/>
  <c r="F52" i="1"/>
  <c r="G57" i="1" a="1"/>
  <c r="G57" i="1" s="1"/>
  <c r="H53" i="1" a="1"/>
  <c r="H53" i="1"/>
  <c r="I52" i="1" a="1"/>
  <c r="I52" i="1" s="1"/>
  <c r="H50" i="1" a="1"/>
  <c r="H50" i="1" s="1"/>
  <c r="G50" i="1" a="1"/>
  <c r="G50" i="1"/>
  <c r="F50" i="1" a="1"/>
  <c r="F50" i="1"/>
  <c r="J13" i="1" a="1"/>
  <c r="J13" i="1" s="1"/>
  <c r="H15" i="1" a="1"/>
  <c r="H15" i="1" s="1"/>
  <c r="K13" i="1" a="1"/>
  <c r="K13" i="1" s="1"/>
  <c r="G14" i="1" a="1"/>
  <c r="G14" i="1" s="1"/>
  <c r="F14" i="1" a="1"/>
  <c r="F14" i="1"/>
  <c r="H13" i="1" a="1"/>
  <c r="H13" i="1"/>
  <c r="I14" i="1" a="1"/>
  <c r="I14" i="1" s="1"/>
  <c r="G13" i="1" a="1"/>
  <c r="G13" i="1" s="1"/>
  <c r="I15" i="1" a="1"/>
  <c r="I15" i="1" s="1"/>
  <c r="J14" i="1" a="1"/>
  <c r="J14" i="1" s="1"/>
  <c r="K14" i="1" a="1"/>
  <c r="K14" i="1"/>
  <c r="G15" i="1" a="1"/>
  <c r="G15" i="1" s="1"/>
  <c r="F15" i="1" a="1"/>
  <c r="F15" i="1"/>
  <c r="H14" i="1" a="1"/>
  <c r="H14" i="1"/>
  <c r="I13" i="1" a="1"/>
  <c r="I13" i="1"/>
  <c r="F13" i="1" a="1"/>
  <c r="F13" i="1" s="1"/>
  <c r="K15" i="1" a="1"/>
  <c r="K15" i="1" s="1"/>
  <c r="J15" i="1" a="1"/>
  <c r="J15" i="1"/>
  <c r="J54" i="1" a="1"/>
  <c r="J54" i="1"/>
  <c r="F54" i="1" a="1"/>
  <c r="F54" i="1"/>
  <c r="G54" i="1" a="1"/>
  <c r="G54" i="1"/>
  <c r="H54" i="1" a="1"/>
  <c r="H54" i="1"/>
  <c r="K54" i="1" a="1"/>
  <c r="K54" i="1" s="1"/>
  <c r="I54" i="1" a="1"/>
  <c r="I54" i="1"/>
  <c r="K42" i="1" a="1"/>
  <c r="K42" i="1" s="1"/>
  <c r="G41" i="1" a="1"/>
  <c r="G41" i="1"/>
  <c r="F43" i="1" a="1"/>
  <c r="F43" i="1" s="1"/>
  <c r="J43" i="1" a="1"/>
  <c r="J43" i="1"/>
  <c r="F42" i="1" a="1"/>
  <c r="F42" i="1" s="1"/>
  <c r="K41" i="1" a="1"/>
  <c r="K41" i="1" s="1"/>
  <c r="I41" i="1" a="1"/>
  <c r="I41" i="1" s="1"/>
  <c r="J42" i="1" a="1"/>
  <c r="J42" i="1"/>
  <c r="I48" i="1" a="1"/>
  <c r="I48" i="1"/>
  <c r="H41" i="1" a="1"/>
  <c r="H41" i="1"/>
  <c r="K43" i="1" a="1"/>
  <c r="K43" i="1"/>
  <c r="H42" i="1" a="1"/>
  <c r="H42" i="1"/>
  <c r="K48" i="1" a="1"/>
  <c r="K48" i="1" s="1"/>
  <c r="J41" i="1" a="1"/>
  <c r="J41" i="1"/>
  <c r="J48" i="1" a="1"/>
  <c r="J48" i="1"/>
  <c r="I42" i="1" a="1"/>
  <c r="I42" i="1"/>
  <c r="H43" i="1" a="1"/>
  <c r="H43" i="1"/>
  <c r="H48" i="1" a="1"/>
  <c r="H48" i="1"/>
  <c r="G43" i="1" a="1"/>
  <c r="G43" i="1" s="1"/>
  <c r="F41" i="1" a="1"/>
  <c r="F41" i="1" s="1"/>
  <c r="F48" i="1" a="1"/>
  <c r="F48" i="1"/>
  <c r="G42" i="1" a="1"/>
  <c r="G42" i="1" s="1"/>
  <c r="G48" i="1" a="1"/>
  <c r="G48" i="1" s="1"/>
  <c r="I43" i="1" a="1"/>
  <c r="I43" i="1" s="1"/>
  <c r="H25" i="1" a="1"/>
  <c r="H25" i="1"/>
  <c r="H26" i="1" a="1"/>
  <c r="H26" i="1" s="1"/>
  <c r="J24" i="1" a="1"/>
  <c r="J24" i="1" s="1"/>
  <c r="G25" i="1" a="1"/>
  <c r="G25" i="1" s="1"/>
  <c r="I25" i="1" a="1"/>
  <c r="I25" i="1"/>
  <c r="K24" i="1" a="1"/>
  <c r="K24" i="1"/>
  <c r="K26" i="1" a="1"/>
  <c r="K26" i="1"/>
  <c r="I26" i="1" a="1"/>
  <c r="I26" i="1"/>
  <c r="K27" i="1" a="1"/>
  <c r="K27" i="1"/>
  <c r="I24" i="1" a="1"/>
  <c r="I24" i="1" s="1"/>
  <c r="K28" i="1" a="1"/>
  <c r="K28" i="1"/>
  <c r="H27" i="1" a="1"/>
  <c r="H27" i="1" s="1"/>
  <c r="J28" i="1" a="1"/>
  <c r="J28" i="1" s="1"/>
  <c r="I28" i="1" a="1"/>
  <c r="I28" i="1" s="1"/>
  <c r="J27" i="1" a="1"/>
  <c r="J27" i="1"/>
  <c r="F26" i="1" a="1"/>
  <c r="F26" i="1"/>
  <c r="I27" i="1" a="1"/>
  <c r="I27" i="1"/>
  <c r="G27" i="1" a="1"/>
  <c r="G27" i="1"/>
  <c r="J26" i="1" a="1"/>
  <c r="J26" i="1"/>
  <c r="G26" i="1" a="1"/>
  <c r="G26" i="1" s="1"/>
  <c r="K25" i="1" a="1"/>
  <c r="K25" i="1"/>
  <c r="J25" i="1" a="1"/>
  <c r="J25" i="1" s="1"/>
  <c r="F28" i="1" a="1"/>
  <c r="F28" i="1" s="1"/>
  <c r="F27" i="1" a="1"/>
  <c r="F27" i="1" s="1"/>
  <c r="H28" i="1" a="1"/>
  <c r="H28" i="1"/>
  <c r="F25" i="1" a="1"/>
  <c r="F25" i="1" s="1"/>
  <c r="G28" i="1" a="1"/>
  <c r="G28" i="1"/>
  <c r="H11" i="1" a="1"/>
  <c r="H11" i="1"/>
  <c r="I21" i="1" a="1"/>
  <c r="I21" i="1"/>
  <c r="H24" i="1" a="1"/>
  <c r="H24" i="1" s="1"/>
  <c r="F17" i="1" a="1"/>
  <c r="F17" i="1"/>
  <c r="G21" i="1" a="1"/>
  <c r="G21" i="1" s="1"/>
  <c r="G24" i="1" a="1"/>
  <c r="G24" i="1" s="1"/>
  <c r="I11" i="1" a="1"/>
  <c r="I11" i="1" s="1"/>
  <c r="G17" i="1" a="1"/>
  <c r="G17" i="1"/>
  <c r="F24" i="1" a="1"/>
  <c r="F24" i="1" s="1"/>
  <c r="K21" i="1" a="1"/>
  <c r="K21" i="1"/>
  <c r="J21" i="1" a="1"/>
  <c r="J21" i="1"/>
  <c r="F21" i="1" a="1"/>
  <c r="F21" i="1"/>
  <c r="J11" i="1" a="1"/>
  <c r="J11" i="1" s="1"/>
  <c r="H21" i="1" a="1"/>
  <c r="H21" i="1"/>
  <c r="G16" i="1" a="1"/>
  <c r="G16" i="1" s="1"/>
  <c r="J16" i="1" a="1"/>
  <c r="J16" i="1" s="1"/>
  <c r="H17" i="1" a="1"/>
  <c r="H17" i="1" s="1"/>
  <c r="H16" i="1" a="1"/>
  <c r="H16" i="1"/>
  <c r="K17" i="1" a="1"/>
  <c r="K17" i="1"/>
  <c r="J17" i="1" a="1"/>
  <c r="J17" i="1"/>
  <c r="F16" i="1" a="1"/>
  <c r="F16" i="1"/>
  <c r="I17" i="1" a="1"/>
  <c r="I17" i="1"/>
  <c r="I16" i="1" a="1"/>
  <c r="I16" i="1" s="1"/>
  <c r="K11" i="1" a="1"/>
  <c r="K11" i="1"/>
  <c r="K16" i="1" a="1"/>
  <c r="K16" i="1" s="1"/>
  <c r="K10" i="1" a="1"/>
  <c r="K10" i="1" s="1"/>
  <c r="H4" i="1" a="1"/>
  <c r="H4" i="1" s="1"/>
  <c r="J10" i="1" a="1"/>
  <c r="J10" i="1"/>
  <c r="I10" i="1" a="1"/>
  <c r="I10" i="1"/>
  <c r="H10" i="1" a="1"/>
  <c r="H10" i="1"/>
  <c r="F10" i="1" a="1"/>
  <c r="F10" i="1"/>
  <c r="K9" i="1" a="1"/>
  <c r="K9" i="1"/>
  <c r="J9" i="1" a="1"/>
  <c r="J9" i="1" s="1"/>
  <c r="I9" i="1" a="1"/>
  <c r="I9" i="1"/>
  <c r="H9" i="1" a="1"/>
  <c r="H9" i="1" s="1"/>
  <c r="I4" i="1" a="1"/>
  <c r="I4" i="1" s="1"/>
  <c r="G9" i="1" a="1"/>
  <c r="G9" i="1" s="1"/>
  <c r="F5" i="1" a="1"/>
  <c r="F5" i="1"/>
  <c r="I5" i="1" a="1"/>
  <c r="I5" i="1"/>
  <c r="K4" i="1" a="1"/>
  <c r="K4" i="1"/>
  <c r="G4" i="1" a="1"/>
  <c r="G4" i="1"/>
  <c r="F9" i="1" a="1"/>
  <c r="F9" i="1"/>
  <c r="K6" i="1" a="1"/>
  <c r="K6" i="1" s="1"/>
  <c r="G7" i="1" a="1"/>
  <c r="G7" i="1"/>
  <c r="J7" i="1" a="1"/>
  <c r="J7" i="1" s="1"/>
  <c r="J5" i="1" a="1"/>
  <c r="J5" i="1" s="1"/>
  <c r="I6" i="1" a="1"/>
  <c r="I6" i="1" s="1"/>
  <c r="J4" i="1" a="1"/>
  <c r="J4" i="1"/>
  <c r="K7" i="1" a="1"/>
  <c r="K7" i="1"/>
  <c r="H6" i="1" a="1"/>
  <c r="H6" i="1"/>
  <c r="H5" i="1" a="1"/>
  <c r="H5" i="1"/>
  <c r="I7" i="1" a="1"/>
  <c r="I7" i="1"/>
  <c r="K5" i="1" a="1"/>
  <c r="K5" i="1" s="1"/>
  <c r="H7" i="1" a="1"/>
  <c r="H7" i="1"/>
  <c r="G6" i="1" a="1"/>
  <c r="G6" i="1" s="1"/>
  <c r="F7" i="1" a="1"/>
  <c r="F7" i="1" s="1"/>
  <c r="F6" i="1" a="1"/>
  <c r="F6" i="1" s="1"/>
  <c r="G5" i="1" a="1"/>
  <c r="G5" i="1"/>
  <c r="F4" i="1" a="1"/>
  <c r="F4" i="1"/>
  <c r="G10" i="1" a="1"/>
  <c r="G10" i="1"/>
  <c r="G11" i="1" a="1"/>
  <c r="G11" i="1"/>
  <c r="F11" i="1" a="1"/>
  <c r="F11" i="1"/>
  <c r="J6" i="1" a="1"/>
  <c r="J6" i="1" s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3" i="1"/>
  <c r="I784" i="1" l="1"/>
  <c r="I785" i="1" s="1"/>
  <c r="I781" i="1"/>
  <c r="F360" i="1"/>
  <c r="F427" i="1" s="1"/>
  <c r="K923" i="1"/>
  <c r="K922" i="1" s="1"/>
  <c r="K901" i="1"/>
  <c r="I923" i="1"/>
  <c r="I922" i="1" s="1"/>
  <c r="I901" i="1"/>
  <c r="K360" i="1"/>
  <c r="K427" i="1" s="1"/>
  <c r="F361" i="1"/>
  <c r="F502" i="1" s="1"/>
  <c r="K239" i="1"/>
  <c r="K314" i="1" s="1"/>
  <c r="K469" i="1" s="1"/>
  <c r="K315" i="1"/>
  <c r="K470" i="1" s="1"/>
  <c r="H272" i="1"/>
  <c r="H361" i="1" s="1"/>
  <c r="H502" i="1" s="1"/>
  <c r="H362" i="1"/>
  <c r="F381" i="1"/>
  <c r="F512" i="1" s="1"/>
  <c r="F281" i="1"/>
  <c r="K272" i="1"/>
  <c r="K361" i="1" s="1"/>
  <c r="K502" i="1" s="1"/>
  <c r="K362" i="1"/>
  <c r="I381" i="1"/>
  <c r="I512" i="1" s="1"/>
  <c r="I281" i="1"/>
  <c r="I380" i="1" s="1"/>
  <c r="I511" i="1" s="1"/>
  <c r="J784" i="1"/>
  <c r="J785" i="1" s="1"/>
  <c r="J781" i="1"/>
  <c r="F740" i="1" a="1"/>
  <c r="F740" i="1" s="1"/>
  <c r="F742" i="1" s="1" a="1"/>
  <c r="F742" i="1" s="1"/>
  <c r="F724" i="1" a="1"/>
  <c r="F724" i="1" s="1"/>
  <c r="F726" i="1" s="1" a="1"/>
  <c r="F726" i="1" s="1"/>
  <c r="G272" i="1"/>
  <c r="G361" i="1" s="1"/>
  <c r="G502" i="1" s="1"/>
  <c r="G362" i="1"/>
  <c r="K380" i="1"/>
  <c r="K511" i="1" s="1"/>
  <c r="I272" i="1"/>
  <c r="I361" i="1" s="1"/>
  <c r="I502" i="1" s="1"/>
  <c r="I362" i="1"/>
  <c r="H740" i="1" a="1"/>
  <c r="H740" i="1" s="1"/>
  <c r="H742" i="1" s="1" a="1"/>
  <c r="H742" i="1" s="1"/>
  <c r="H724" i="1" a="1"/>
  <c r="H724" i="1" s="1"/>
  <c r="H726" i="1" s="1" a="1"/>
  <c r="H726" i="1" s="1"/>
  <c r="I196" i="1"/>
  <c r="I359" i="1" s="1"/>
  <c r="I426" i="1" s="1"/>
  <c r="I360" i="1"/>
  <c r="I427" i="1" s="1"/>
  <c r="I315" i="1"/>
  <c r="I470" i="1" s="1"/>
  <c r="G281" i="1"/>
  <c r="G380" i="1" s="1"/>
  <c r="G511" i="1" s="1"/>
  <c r="K121" i="1"/>
  <c r="J724" i="1" a="1"/>
  <c r="J724" i="1" s="1"/>
  <c r="J726" i="1" s="1" a="1"/>
  <c r="J726" i="1" s="1"/>
  <c r="K117" i="1"/>
  <c r="G320" i="1"/>
  <c r="G475" i="1" s="1"/>
  <c r="I321" i="1"/>
  <c r="I476" i="1" s="1"/>
  <c r="H320" i="1"/>
  <c r="H475" i="1" s="1"/>
  <c r="F298" i="1"/>
  <c r="F411" i="1" s="1"/>
  <c r="F315" i="1"/>
  <c r="F470" i="1" s="1"/>
  <c r="F383" i="1"/>
  <c r="F514" i="1" s="1"/>
  <c r="J127" i="1"/>
  <c r="G312" i="1"/>
  <c r="G417" i="1" s="1"/>
  <c r="J122" i="1"/>
  <c r="K320" i="1"/>
  <c r="K475" i="1" s="1"/>
  <c r="H901" i="1"/>
  <c r="H900" i="1"/>
  <c r="H923" i="1"/>
  <c r="H922" i="1" s="1"/>
  <c r="H897" i="1"/>
  <c r="I724" i="1" a="1"/>
  <c r="I724" i="1" s="1"/>
  <c r="I726" i="1" s="1" a="1"/>
  <c r="I726" i="1" s="1"/>
  <c r="F312" i="1"/>
  <c r="F417" i="1" s="1"/>
  <c r="F116" i="1"/>
  <c r="F322" i="1"/>
  <c r="F477" i="1" s="1"/>
  <c r="F126" i="1"/>
  <c r="J361" i="1"/>
  <c r="J502" i="1" s="1"/>
  <c r="F380" i="1"/>
  <c r="F511" i="1" s="1"/>
  <c r="K122" i="1"/>
  <c r="F781" i="1"/>
  <c r="K740" i="1" a="1"/>
  <c r="K740" i="1" s="1"/>
  <c r="K742" i="1" s="1" a="1"/>
  <c r="K742" i="1" s="1"/>
  <c r="K724" i="1" a="1"/>
  <c r="K724" i="1" s="1"/>
  <c r="K726" i="1" s="1" a="1"/>
  <c r="K726" i="1" s="1"/>
  <c r="H381" i="1"/>
  <c r="H512" i="1" s="1"/>
  <c r="J196" i="1"/>
  <c r="J359" i="1" s="1"/>
  <c r="J426" i="1" s="1"/>
  <c r="J360" i="1"/>
  <c r="J427" i="1" s="1"/>
  <c r="J315" i="1"/>
  <c r="J470" i="1" s="1"/>
  <c r="G923" i="1"/>
  <c r="G922" i="1" s="1"/>
  <c r="G901" i="1"/>
  <c r="I740" i="1" a="1"/>
  <c r="I740" i="1" s="1"/>
  <c r="I742" i="1" s="1" a="1"/>
  <c r="I742" i="1" s="1"/>
  <c r="H317" i="1"/>
  <c r="H472" i="1" s="1"/>
  <c r="J900" i="1"/>
  <c r="J923" i="1"/>
  <c r="J922" i="1" s="1"/>
  <c r="J897" i="1"/>
  <c r="J901" i="1"/>
  <c r="F923" i="1"/>
  <c r="F922" i="1" s="1"/>
  <c r="F893" i="1"/>
  <c r="F901" i="1"/>
  <c r="G138" i="1" a="1"/>
  <c r="G138" i="1" s="1"/>
  <c r="F299" i="1"/>
  <c r="F463" i="1" s="1"/>
  <c r="H319" i="1"/>
  <c r="H474" i="1" s="1"/>
  <c r="H123" i="1"/>
  <c r="H119" i="1"/>
  <c r="I317" i="1"/>
  <c r="I472" i="1" s="1"/>
  <c r="K781" i="1"/>
  <c r="G384" i="1"/>
  <c r="G515" i="1" s="1"/>
  <c r="I313" i="1"/>
  <c r="I418" i="1" s="1"/>
  <c r="H359" i="1"/>
  <c r="H426" i="1" s="1"/>
  <c r="J313" i="1"/>
  <c r="J418" i="1" s="1"/>
  <c r="I398" i="1"/>
  <c r="I518" i="1" s="1"/>
  <c r="G318" i="1"/>
  <c r="G473" i="1" s="1"/>
  <c r="F121" i="1"/>
  <c r="F317" i="1"/>
  <c r="F472" i="1" s="1"/>
  <c r="J381" i="1"/>
  <c r="J512" i="1" s="1"/>
  <c r="G126" i="1"/>
  <c r="G196" i="1"/>
  <c r="G359" i="1" s="1"/>
  <c r="G426" i="1" s="1"/>
  <c r="F239" i="1"/>
  <c r="F314" i="1" s="1"/>
  <c r="F469" i="1" s="1"/>
  <c r="H196" i="1"/>
  <c r="G239" i="1"/>
  <c r="G314" i="1" s="1"/>
  <c r="G469" i="1" s="1"/>
  <c r="I900" i="1"/>
  <c r="K900" i="1"/>
  <c r="F362" i="1"/>
  <c r="J119" i="1"/>
  <c r="G900" i="1"/>
  <c r="G897" i="1"/>
  <c r="I897" i="1"/>
  <c r="K897" i="1"/>
  <c r="F897" i="1" l="1"/>
  <c r="F900" i="1"/>
  <c r="C2029" i="1" l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F1838" i="1" s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1838" i="1" l="1"/>
  <c r="I1857" i="1"/>
  <c r="K2017" i="1"/>
  <c r="K1880" i="1"/>
  <c r="H1838" i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F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I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569" i="1" l="1"/>
  <c r="G1616" i="1"/>
  <c r="I1616" i="1"/>
  <c r="G1569" i="1"/>
  <c r="H1569" i="1"/>
  <c r="F1616" i="1"/>
  <c r="H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561" i="1" l="1"/>
  <c r="G1601" i="1"/>
  <c r="I1601" i="1"/>
  <c r="G1554" i="1"/>
  <c r="I1608" i="1"/>
  <c r="F1608" i="1"/>
  <c r="I1561" i="1"/>
  <c r="F1601" i="1"/>
  <c r="G1608" i="1"/>
  <c r="H1601" i="1"/>
  <c r="G1561" i="1"/>
  <c r="H1554" i="1"/>
  <c r="F1554" i="1"/>
  <c r="H1608" i="1"/>
  <c r="I1554" i="1"/>
  <c r="F156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G1427" i="1"/>
  <c r="H1510" i="1"/>
  <c r="G1510" i="1"/>
  <c r="F1510" i="1"/>
  <c r="I1413" i="1"/>
  <c r="H1427" i="1"/>
  <c r="I1427" i="1"/>
  <c r="H1413" i="1"/>
  <c r="F1413" i="1"/>
  <c r="F1427" i="1"/>
  <c r="G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H1329" i="1" l="1"/>
  <c r="I1329" i="1"/>
  <c r="F1329" i="1"/>
  <c r="G1329" i="1"/>
  <c r="F1343" i="1"/>
  <c r="H1343" i="1"/>
  <c r="G1343" i="1"/>
  <c r="I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182" i="1" l="1"/>
  <c r="F1182" i="1"/>
  <c r="F1205" i="1"/>
  <c r="G1182" i="1"/>
  <c r="G1205" i="1"/>
  <c r="H1205" i="1"/>
  <c r="H1182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F1159" i="1"/>
  <c r="G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C211" i="1"/>
  <c r="C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K1004" i="1" s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E710" i="1"/>
  <c r="C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K713" i="1"/>
  <c r="J713" i="1"/>
  <c r="C697" i="1"/>
  <c r="C698" i="1" s="1"/>
  <c r="C699" i="1" s="1"/>
  <c r="C700" i="1" s="1"/>
  <c r="C701" i="1" s="1"/>
  <c r="C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F713" i="1" l="1"/>
  <c r="G713" i="1"/>
  <c r="H713" i="1"/>
  <c r="I713" i="1"/>
  <c r="I730" i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F678" i="1"/>
  <c r="J693" i="1"/>
  <c r="I693" i="1"/>
  <c r="K684" i="1"/>
  <c r="F693" i="1"/>
  <c r="H693" i="1"/>
  <c r="G678" i="1"/>
  <c r="K693" i="1"/>
  <c r="F684" i="1"/>
  <c r="K678" i="1"/>
  <c r="H678" i="1"/>
  <c r="I678" i="1"/>
  <c r="J684" i="1"/>
  <c r="C680" i="1"/>
  <c r="C663" i="1"/>
  <c r="C682" i="1"/>
  <c r="C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4" i="1" l="1" a="1"/>
  <c r="K734" i="1" s="1"/>
  <c r="K736" i="1" a="1"/>
  <c r="K736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47" i="1"/>
  <c r="J744" i="1"/>
  <c r="J74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632" i="1" l="1"/>
  <c r="J750" i="1"/>
  <c r="J749" i="1"/>
  <c r="J752" i="1"/>
  <c r="J753" i="1"/>
  <c r="J751" i="1"/>
  <c r="J754" i="1"/>
  <c r="K622" i="1"/>
  <c r="J622" i="1"/>
  <c r="C783" i="1"/>
  <c r="C784" i="1" s="1"/>
  <c r="C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H10" i="4" l="1"/>
  <c r="C10" i="4"/>
  <c r="G10" i="4"/>
  <c r="F10" i="4"/>
  <c r="E10" i="4"/>
  <c r="D10" i="4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K504" i="1"/>
  <c r="J504" i="1"/>
  <c r="I504" i="1"/>
  <c r="H504" i="1"/>
  <c r="G504" i="1"/>
  <c r="F504" i="1"/>
  <c r="C895" i="1" l="1"/>
  <c r="C896" i="1" s="1"/>
  <c r="C897" i="1" s="1"/>
  <c r="C894" i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C899" i="1"/>
  <c r="C900" i="1" s="1"/>
  <c r="C898" i="1"/>
  <c r="C953" i="1" l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C920" i="1" l="1"/>
  <c r="C921" i="1" s="1"/>
  <c r="C922" i="1" s="1"/>
  <c r="C970" i="1" s="1"/>
  <c r="C971" i="1" s="1"/>
  <c r="C918" i="1"/>
  <c r="C919" i="1" s="1"/>
  <c r="C923" i="1" l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6" i="1" l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C1150" i="1" l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C1156" i="1" l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J892" i="1"/>
  <c r="J898" i="1"/>
  <c r="I892" i="1"/>
  <c r="I898" i="1"/>
  <c r="H892" i="1"/>
  <c r="H898" i="1"/>
  <c r="G892" i="1"/>
  <c r="G898" i="1"/>
  <c r="K892" i="1"/>
  <c r="K898" i="1"/>
  <c r="C1206" i="1" l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C1506" i="1" l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C1753" i="1" l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F890" i="1"/>
  <c r="G890" i="1"/>
  <c r="H890" i="1"/>
  <c r="I890" i="1"/>
  <c r="J890" i="1"/>
  <c r="K890" i="1"/>
  <c r="C1788" i="1" l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C1809" i="1" l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G1041" i="1"/>
  <c r="F1041" i="1"/>
  <c r="F1093" i="1" s="1"/>
  <c r="K1093" i="1"/>
  <c r="K1094" i="1"/>
  <c r="K1095" i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K1068" i="1" l="1"/>
  <c r="K1069" i="1"/>
  <c r="H1045" i="1"/>
  <c r="H1069" i="1"/>
  <c r="G1068" i="1"/>
  <c r="G1095" i="1"/>
  <c r="G1094" i="1"/>
  <c r="G1093" i="1"/>
  <c r="G1045" i="1"/>
  <c r="G1069" i="1"/>
  <c r="H1068" i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H1615" i="1" l="1"/>
  <c r="H1568" i="1"/>
  <c r="H1426" i="1"/>
  <c r="H1342" i="1"/>
  <c r="H1204" i="1"/>
  <c r="I1568" i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G1615" i="1"/>
  <c r="G1614" i="1" s="1"/>
  <c r="G1613" i="1" s="1"/>
  <c r="G1568" i="1"/>
  <c r="G1567" i="1" s="1"/>
  <c r="G1566" i="1" s="1"/>
  <c r="G1426" i="1"/>
  <c r="G1425" i="1" s="1"/>
  <c r="G1424" i="1" s="1"/>
  <c r="G1342" i="1"/>
  <c r="G1341" i="1" s="1"/>
  <c r="G1340" i="1" s="1"/>
  <c r="G1204" i="1"/>
  <c r="G1203" i="1" s="1"/>
  <c r="G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426" i="1" l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568" i="1" s="1"/>
  <c r="K1427" i="1" l="1"/>
  <c r="K1343" i="1"/>
  <c r="K1616" i="1"/>
  <c r="K1205" i="1"/>
  <c r="K1569" i="1"/>
  <c r="K1342" i="1"/>
  <c r="K1426" i="1"/>
  <c r="K1204" i="1"/>
  <c r="K1615" i="1"/>
  <c r="K1568" i="1"/>
  <c r="J1616" i="1"/>
  <c r="J1427" i="1"/>
  <c r="J1343" i="1"/>
  <c r="J1205" i="1"/>
  <c r="J1569" i="1"/>
  <c r="J161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650" i="1" l="1"/>
  <c r="H1553" i="1"/>
  <c r="H1600" i="1"/>
  <c r="H1509" i="1"/>
  <c r="H1158" i="1"/>
  <c r="G1650" i="1"/>
  <c r="G1553" i="1"/>
  <c r="G1600" i="1"/>
  <c r="G1599" i="1" s="1"/>
  <c r="G1598" i="1" s="1"/>
  <c r="G1509" i="1"/>
  <c r="G1508" i="1" s="1"/>
  <c r="G1507" i="1" s="1"/>
  <c r="G1158" i="1"/>
  <c r="G1157" i="1" s="1"/>
  <c r="G1156" i="1" s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I1650" i="1"/>
  <c r="I1649" i="1" s="1"/>
  <c r="I1553" i="1"/>
  <c r="I1552" i="1" s="1"/>
  <c r="I1551" i="1" s="1"/>
  <c r="I1600" i="1"/>
  <c r="I1599" i="1" s="1"/>
  <c r="I1598" i="1" s="1"/>
  <c r="I1509" i="1"/>
  <c r="I1508" i="1" s="1"/>
  <c r="I1507" i="1" s="1"/>
  <c r="I1158" i="1"/>
  <c r="I1157" i="1" s="1"/>
  <c r="I1156" i="1" s="1"/>
  <c r="F1656" i="1"/>
  <c r="F1607" i="1"/>
  <c r="F1560" i="1"/>
  <c r="F1412" i="1"/>
  <c r="F1328" i="1"/>
  <c r="F1181" i="1"/>
  <c r="F1180" i="1" s="1"/>
  <c r="F1179" i="1" s="1"/>
  <c r="G1656" i="1"/>
  <c r="G1560" i="1"/>
  <c r="G1607" i="1"/>
  <c r="G1412" i="1"/>
  <c r="G1328" i="1"/>
  <c r="G1181" i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606" i="1" s="1"/>
  <c r="I1605" i="1" s="1"/>
  <c r="I1560" i="1"/>
  <c r="I1412" i="1"/>
  <c r="I1328" i="1"/>
  <c r="I1181" i="1"/>
  <c r="H1649" i="1"/>
  <c r="H1599" i="1"/>
  <c r="H1598" i="1" s="1"/>
  <c r="H1552" i="1"/>
  <c r="H1551" i="1" s="1"/>
  <c r="H1508" i="1"/>
  <c r="H1507" i="1" s="1"/>
  <c r="G1649" i="1"/>
  <c r="G1552" i="1"/>
  <c r="G1551" i="1" s="1"/>
  <c r="I1559" i="1"/>
  <c r="I1558" i="1" s="1"/>
  <c r="I1327" i="1"/>
  <c r="I1326" i="1" s="1"/>
  <c r="I1411" i="1"/>
  <c r="I1410" i="1" s="1"/>
  <c r="I1180" i="1"/>
  <c r="I1179" i="1" s="1"/>
  <c r="G1411" i="1"/>
  <c r="G1410" i="1" s="1"/>
  <c r="G1606" i="1"/>
  <c r="G1605" i="1" s="1"/>
  <c r="G1327" i="1"/>
  <c r="G1326" i="1" s="1"/>
  <c r="G1180" i="1"/>
  <c r="G1179" i="1" s="1"/>
  <c r="G1559" i="1"/>
  <c r="G1558" i="1" s="1"/>
  <c r="F1411" i="1"/>
  <c r="F1410" i="1" s="1"/>
  <c r="F1559" i="1"/>
  <c r="F1558" i="1" s="1"/>
  <c r="F1327" i="1"/>
  <c r="F1326" i="1" s="1"/>
  <c r="F1606" i="1"/>
  <c r="F1605" i="1" s="1"/>
  <c r="H1157" i="1"/>
  <c r="H1156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00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50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J22" i="1"/>
  <c r="I22" i="1"/>
  <c r="H22" i="1"/>
  <c r="J32" i="1"/>
  <c r="J1718" i="1" s="1"/>
  <c r="K32" i="1"/>
  <c r="K1718" i="1" s="1"/>
  <c r="J36" i="1"/>
  <c r="J1607" i="1" s="1"/>
  <c r="K36" i="1"/>
  <c r="K1656" i="1" s="1"/>
  <c r="K1601" i="1" l="1"/>
  <c r="K1651" i="1"/>
  <c r="K1554" i="1"/>
  <c r="K1510" i="1"/>
  <c r="K1159" i="1"/>
  <c r="J1412" i="1"/>
  <c r="J1656" i="1"/>
  <c r="J1554" i="1"/>
  <c r="J1601" i="1"/>
  <c r="J1651" i="1"/>
  <c r="J1510" i="1"/>
  <c r="J1159" i="1"/>
  <c r="J1181" i="1"/>
  <c r="K1328" i="1"/>
  <c r="J1553" i="1"/>
  <c r="K1509" i="1"/>
  <c r="K1600" i="1"/>
  <c r="K1182" i="1"/>
  <c r="K1561" i="1"/>
  <c r="K1608" i="1"/>
  <c r="K1329" i="1"/>
  <c r="K1657" i="1"/>
  <c r="K1413" i="1"/>
  <c r="J1329" i="1"/>
  <c r="J1182" i="1"/>
  <c r="J1561" i="1"/>
  <c r="J1608" i="1"/>
  <c r="J1657" i="1"/>
  <c r="J1413" i="1"/>
  <c r="J1560" i="1"/>
  <c r="K1181" i="1"/>
  <c r="K1607" i="1"/>
  <c r="J1158" i="1"/>
  <c r="K1553" i="1"/>
  <c r="J1328" i="1"/>
  <c r="K1412" i="1"/>
  <c r="K1560" i="1"/>
  <c r="K1158" i="1"/>
  <c r="J1509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K1552" i="1" l="1"/>
  <c r="K1551" i="1" s="1"/>
  <c r="J1157" i="1"/>
  <c r="J1156" i="1" s="1"/>
  <c r="J1599" i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44" i="1"/>
  <c r="A46" i="1" s="1"/>
  <c r="J1648" i="1" l="1"/>
  <c r="J1654" i="1"/>
  <c r="K1654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I372" i="1" s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<sst xmlns="http://schemas.openxmlformats.org/spreadsheetml/2006/main" count="4271" uniqueCount="2180">
  <si>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</si>
  <si>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</si>
  <si>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</si>
  <si>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</si>
  <si>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</si>
  <si>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</si>
  <si>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</si>
  <si>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</si>
  <si>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</si>
  <si>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</si>
  <si>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</si>
  <si>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</si>
  <si>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</si>
  <si>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</si>
  <si>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</si>
  <si>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</si>
  <si>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</si>
  <si>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</si>
  <si>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</si>
  <si>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</si>
  <si>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</si>
  <si>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</si>
  <si>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</si>
  <si>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</si>
  <si>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</si>
  <si>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</si>
  <si>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</si>
  <si>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</si>
  <si>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</si>
  <si>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</si>
  <si>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</si>
  <si>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</si>
  <si>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</si>
  <si>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</si>
  <si>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</si>
  <si>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</si>
  <si>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</si>
  <si>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</si>
  <si>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</si>
  <si>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</si>
  <si>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</si>
  <si>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</si>
  <si>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</si>
  <si>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</si>
  <si>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</si>
  <si>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</si>
  <si>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</si>
  <si>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</si>
  <si>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</si>
  <si>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</si>
  <si>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</si>
  <si>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</si>
  <si>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</si>
  <si>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</si>
  <si>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</si>
  <si>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</si>
  <si>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</si>
  <si>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</si>
  <si>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</si>
  <si>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</si>
  <si>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</si>
  <si>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</si>
  <si>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</si>
  <si>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</si>
  <si>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</si>
  <si>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</si>
  <si>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</si>
  <si>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</si>
  <si>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</si>
  <si>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</si>
  <si>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</si>
  <si>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</si>
  <si>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</si>
  <si>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</si>
  <si>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</si>
  <si>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</si>
  <si>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</si>
  <si>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</si>
  <si>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</si>
  <si>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</si>
  <si>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</si>
  <si>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</si>
  <si>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</si>
  <si>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</si>
  <si>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</si>
  <si>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</si>
  <si>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</si>
  <si>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</si>
  <si>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</si>
  <si>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</si>
  <si>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</si>
  <si>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</si>
  <si>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</si>
  <si>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</si>
  <si>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</si>
  <si>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</si>
  <si>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</si>
  <si>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</si>
  <si>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</si>
  <si>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</si>
  <si>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</si>
  <si>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</si>
  <si>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</si>
  <si>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</si>
  <si>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</si>
  <si>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</si>
  <si>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</si>
  <si>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</si>
  <si>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</si>
  <si>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</si>
  <si>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</si>
  <si>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</si>
  <si>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</si>
  <si>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</si>
  <si>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</si>
  <si>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</si>
  <si>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</si>
  <si>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</si>
  <si>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</si>
  <si>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</si>
  <si>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</si>
  <si>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</si>
  <si>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</si>
  <si>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</si>
  <si>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</si>
  <si>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</si>
  <si>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</si>
  <si>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</si>
  <si>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</si>
  <si>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</si>
  <si>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</si>
  <si>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</si>
  <si>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</si>
  <si>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</si>
  <si>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</si>
  <si>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</si>
  <si>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</si>
  <si>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</si>
  <si>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</si>
  <si>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</si>
  <si>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</si>
  <si>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</si>
  <si>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</si>
  <si>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</si>
  <si>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</si>
  <si>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</si>
  <si>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</si>
  <si>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</si>
  <si>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</si>
  <si>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</si>
  <si>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</si>
  <si>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</si>
  <si>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</si>
  <si>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</si>
  <si>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</si>
  <si>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</si>
  <si>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</si>
  <si>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</si>
  <si>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</si>
  <si>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</si>
  <si>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</si>
  <si>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</si>
  <si>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</si>
  <si>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</si>
  <si>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</si>
  <si>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</si>
  <si>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</si>
  <si>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</si>
  <si>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</si>
  <si>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</si>
  <si>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</si>
  <si>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</si>
  <si>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</si>
  <si>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</si>
  <si>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</si>
  <si>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</si>
  <si>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</si>
  <si>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</si>
  <si>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</si>
  <si>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</si>
  <si>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</si>
  <si>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</si>
  <si>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</si>
  <si>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</si>
  <si>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</si>
  <si>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</si>
  <si>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</si>
  <si>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</si>
  <si>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</si>
  <si>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</si>
  <si>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</si>
  <si>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</si>
  <si>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</si>
  <si>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</si>
  <si>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</si>
  <si>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</si>
  <si>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</si>
  <si>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</si>
  <si>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</si>
  <si>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</si>
  <si>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</si>
  <si>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</si>
  <si>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</si>
  <si>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</si>
  <si>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</si>
  <si>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</si>
  <si>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</si>
  <si>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</si>
  <si>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</si>
  <si>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</si>
  <si>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</si>
  <si>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</si>
  <si>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</si>
  <si>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</si>
  <si>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</si>
  <si>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</si>
  <si>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</si>
  <si>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</si>
  <si>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</si>
  <si>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</si>
  <si>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</si>
  <si>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</si>
  <si>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</si>
  <si>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</si>
  <si>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</si>
  <si>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</si>
  <si>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</si>
  <si>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</si>
  <si>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</si>
  <si>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</si>
  <si>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</si>
  <si>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</si>
  <si>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</si>
  <si>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</si>
  <si>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</si>
  <si>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</si>
  <si>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</si>
  <si>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</si>
  <si>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</si>
  <si>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</si>
  <si>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</si>
  <si>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</si>
  <si>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</si>
  <si>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</si>
  <si>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</si>
  <si>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</si>
  <si>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</si>
  <si>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</si>
  <si>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</si>
  <si>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</si>
  <si>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</si>
  <si>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</si>
  <si>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</si>
  <si>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</si>
  <si>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</si>
  <si>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</si>
  <si>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</si>
  <si>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</si>
  <si>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</si>
  <si>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</si>
  <si>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</si>
  <si>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</si>
  <si>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</si>
  <si>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</si>
  <si>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</si>
  <si>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</si>
  <si>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</si>
  <si>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</si>
  <si>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</si>
  <si>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</si>
  <si>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</si>
  <si>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</si>
  <si>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</si>
  <si>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</si>
  <si>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</si>
  <si>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</si>
  <si>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</si>
  <si>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</si>
  <si>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</si>
  <si>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</si>
  <si>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</si>
  <si>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</si>
  <si>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</si>
  <si>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</si>
  <si>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</si>
  <si>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</si>
  <si>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</si>
  <si>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</si>
  <si>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</si>
  <si>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</si>
  <si>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</si>
  <si>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</si>
  <si>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</si>
  <si>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</si>
  <si>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</si>
  <si>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</si>
  <si>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</si>
  <si>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</si>
  <si>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</si>
  <si>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</si>
  <si>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</si>
  <si>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</si>
  <si>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</si>
  <si>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</si>
  <si>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</si>
  <si>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</si>
  <si>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</si>
  <si>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</si>
  <si>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</si>
  <si>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</si>
  <si>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</si>
  <si>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</si>
  <si>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</si>
  <si>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</si>
  <si>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</si>
  <si>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</si>
  <si>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</si>
  <si>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</si>
  <si>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</si>
  <si>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</si>
  <si>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</si>
  <si>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</si>
  <si>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</si>
  <si>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</si>
  <si>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</si>
  <si>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</si>
  <si>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</si>
  <si>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</si>
  <si>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</si>
  <si>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</si>
  <si>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</si>
  <si>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</si>
  <si>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</si>
  <si>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</si>
  <si>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</si>
  <si>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</si>
  <si>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</si>
  <si>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</si>
  <si>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</si>
  <si>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</si>
  <si>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</si>
  <si>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</si>
  <si>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</si>
  <si>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</si>
  <si>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</si>
  <si>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</si>
  <si>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</si>
  <si>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</si>
  <si>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</si>
  <si>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</si>
  <si>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</si>
  <si>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</si>
  <si>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</si>
  <si>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</si>
  <si>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</si>
  <si>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</si>
  <si>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</si>
  <si>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</si>
  <si>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</si>
  <si>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</si>
  <si>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</si>
  <si>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</si>
  <si>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</si>
  <si>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</si>
  <si>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</si>
  <si>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</si>
  <si>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</si>
  <si>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</si>
  <si>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</si>
  <si>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</si>
  <si>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</si>
  <si>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</si>
  <si>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</si>
  <si>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</si>
  <si>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</si>
  <si>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</si>
  <si>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</si>
  <si>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</si>
  <si>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</si>
  <si>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</si>
  <si>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</si>
  <si>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</si>
  <si>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</si>
  <si>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</si>
  <si>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</si>
  <si>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</si>
  <si>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</si>
  <si>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</si>
  <si>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</si>
  <si>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</si>
  <si>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</si>
  <si>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</si>
  <si>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</si>
  <si>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</si>
  <si>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</si>
  <si>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</si>
  <si>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</si>
  <si>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</si>
  <si>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</si>
  <si>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</si>
  <si>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</si>
  <si>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</si>
  <si>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</si>
  <si>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</si>
  <si>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</si>
  <si>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</si>
  <si>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</si>
  <si>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</si>
  <si>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</si>
  <si>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</si>
  <si>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</si>
  <si>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</si>
  <si>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</si>
  <si>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</si>
  <si>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</si>
  <si>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</si>
  <si>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</si>
  <si>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</si>
  <si>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</si>
  <si>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</si>
  <si>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</si>
  <si>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</si>
  <si>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</si>
  <si>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</si>
  <si>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</si>
  <si>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</si>
  <si>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</si>
  <si>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</si>
  <si>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</si>
  <si>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</si>
  <si>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</si>
  <si>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</si>
  <si>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</si>
  <si>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</si>
  <si>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</si>
  <si>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</si>
  <si>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</si>
  <si>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</si>
  <si>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</si>
  <si>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</si>
  <si>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</si>
  <si>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</si>
  <si>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</si>
  <si>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</si>
  <si>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</si>
  <si>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</si>
  <si>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</si>
  <si>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</si>
  <si>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</si>
  <si>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</si>
  <si>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</si>
  <si>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</si>
  <si>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</si>
  <si>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</si>
  <si>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</si>
  <si>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</si>
  <si>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</si>
  <si>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</si>
  <si>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</si>
  <si>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</si>
  <si>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</si>
  <si>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</si>
  <si>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</si>
  <si>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</si>
  <si>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</si>
  <si>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</si>
  <si>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</si>
  <si>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</si>
  <si>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</si>
  <si>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</si>
  <si>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</si>
  <si>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</si>
  <si>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</si>
  <si>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</si>
  <si>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</si>
  <si>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</si>
  <si>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</si>
  <si>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</si>
  <si>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</si>
  <si>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</si>
  <si>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</si>
  <si>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</si>
  <si>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</si>
  <si>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</si>
  <si>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</si>
  <si>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</si>
  <si>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</si>
  <si>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</si>
  <si>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</si>
  <si>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</si>
  <si>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</si>
  <si>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</si>
  <si>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</si>
  <si>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</si>
  <si>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</si>
  <si>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</si>
  <si>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</si>
  <si>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</si>
  <si>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</si>
  <si>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</si>
  <si>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</si>
  <si>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</si>
  <si>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</si>
  <si>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</si>
  <si>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</si>
  <si>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</si>
  <si>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</si>
  <si>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</si>
  <si>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</si>
  <si>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</si>
  <si>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</si>
  <si>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</si>
  <si>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</si>
  <si>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</si>
  <si>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</si>
  <si>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</si>
  <si>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</si>
  <si>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</si>
  <si>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</si>
  <si>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</si>
  <si>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</si>
  <si>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</si>
  <si>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</si>
  <si>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</si>
  <si>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</si>
  <si>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</si>
  <si>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</si>
  <si>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</si>
  <si>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</si>
  <si>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</si>
  <si>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</si>
  <si>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</si>
  <si>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</si>
  <si>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</si>
  <si>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</si>
  <si>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</si>
  <si>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</si>
  <si>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</si>
  <si>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</si>
  <si>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</si>
  <si>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</si>
  <si>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</si>
  <si>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</si>
  <si>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</si>
  <si>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</si>
  <si>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</si>
  <si>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</si>
  <si>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</si>
  <si>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</si>
  <si>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</si>
  <si>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</si>
  <si>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</si>
  <si>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</si>
  <si>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</si>
  <si>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</si>
  <si>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</si>
  <si>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</si>
  <si>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</si>
  <si>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</si>
  <si>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</si>
  <si>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</si>
  <si>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</si>
  <si>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</si>
  <si>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</si>
  <si>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</si>
  <si>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</si>
  <si>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</si>
  <si>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</si>
  <si>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</si>
  <si>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</si>
  <si>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</si>
  <si>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</si>
  <si>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</si>
  <si>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</si>
  <si>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</si>
  <si>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</si>
  <si>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</si>
  <si>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</si>
  <si>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</si>
  <si>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</si>
  <si>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</si>
  <si>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</si>
  <si>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</si>
  <si>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</si>
  <si>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</si>
  <si>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</si>
  <si>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</si>
  <si>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</si>
  <si>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</si>
  <si>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</si>
  <si>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</si>
  <si>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</si>
  <si>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</si>
  <si>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</si>
  <si>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</si>
  <si>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</si>
  <si>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</si>
  <si>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</si>
  <si>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</si>
  <si>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</si>
  <si>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</si>
  <si>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</si>
  <si>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</si>
  <si>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</si>
  <si>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</si>
  <si>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</si>
  <si>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</si>
  <si>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</si>
  <si>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</si>
  <si>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</si>
  <si>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</si>
  <si>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</si>
  <si>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</si>
  <si>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</si>
  <si>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</si>
  <si>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</si>
  <si>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</si>
  <si>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</si>
  <si>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</si>
  <si>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</si>
  <si>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</si>
  <si>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</si>
  <si>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</si>
  <si>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</si>
  <si>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</si>
  <si>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</si>
  <si>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</si>
  <si>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</si>
  <si>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</si>
  <si>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</si>
  <si>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</si>
  <si>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</si>
  <si>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</si>
  <si>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</si>
  <si>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</si>
  <si>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</si>
  <si>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</si>
  <si>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</si>
  <si>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</si>
  <si>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</si>
  <si>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</si>
  <si>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</si>
  <si>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</si>
  <si>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</si>
  <si>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</si>
  <si>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</si>
  <si>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</si>
  <si>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</si>
  <si>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</si>
  <si>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</si>
  <si>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</si>
  <si>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</si>
  <si>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</si>
  <si>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</si>
  <si>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</si>
  <si>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</si>
  <si>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</si>
  <si>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</si>
  <si>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</si>
  <si>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</si>
  <si>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</si>
  <si>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</si>
  <si>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</si>
  <si>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</si>
  <si>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</si>
  <si>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</si>
  <si>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</si>
  <si>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</si>
  <si>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</si>
  <si>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</si>
  <si>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</si>
  <si>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</si>
  <si>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</si>
  <si>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</si>
  <si>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</si>
  <si>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</si>
  <si>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</si>
  <si>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</si>
  <si>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</si>
  <si>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</si>
  <si>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</si>
  <si>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</si>
  <si>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</si>
  <si>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</si>
  <si>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</si>
  <si>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</si>
  <si>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</si>
  <si>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</si>
  <si>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</si>
  <si>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</si>
  <si>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</si>
  <si>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</si>
  <si>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</si>
  <si>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</si>
  <si>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</si>
  <si>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</si>
  <si>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</si>
  <si>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</si>
  <si>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</si>
  <si>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</si>
  <si>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</si>
  <si>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</si>
  <si>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</si>
  <si>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</si>
  <si>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</si>
  <si>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</si>
  <si>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</si>
  <si>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</si>
  <si>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</si>
  <si>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</si>
  <si>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</si>
  <si>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</si>
  <si>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</si>
  <si>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</si>
  <si>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</si>
  <si>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</si>
  <si>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</si>
  <si>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</si>
  <si>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</si>
  <si>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</si>
  <si>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</si>
  <si>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</si>
  <si>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</si>
  <si>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</si>
  <si>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</si>
  <si>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</si>
  <si>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</si>
  <si>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</si>
  <si>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</si>
  <si>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</si>
  <si>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</si>
  <si>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</si>
  <si>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</si>
  <si>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</si>
  <si>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</si>
  <si>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</si>
  <si>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</si>
  <si>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</si>
  <si>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</si>
  <si>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</si>
  <si>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</si>
  <si>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</si>
  <si>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</si>
  <si>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</si>
  <si>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</si>
  <si>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</si>
  <si>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</si>
  <si>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</si>
  <si>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</si>
  <si>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</si>
  <si>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</si>
  <si>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</si>
  <si>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</si>
  <si>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</si>
  <si>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</si>
  <si>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</si>
  <si>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</si>
  <si>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</si>
  <si>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</si>
  <si>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</si>
  <si>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</si>
  <si>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</si>
  <si>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</si>
  <si>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</si>
  <si>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</si>
  <si>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</si>
  <si>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</si>
  <si>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</si>
  <si>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</si>
  <si>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</si>
  <si>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</si>
  <si>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</si>
  <si>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</si>
  <si>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</si>
  <si>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</si>
  <si>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</si>
  <si>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</si>
  <si>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</si>
  <si>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</si>
  <si>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</si>
  <si>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</si>
  <si>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</si>
  <si>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</si>
  <si>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</si>
  <si>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</si>
  <si>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</si>
  <si>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</si>
  <si>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</si>
  <si>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</si>
  <si>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</si>
  <si>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</si>
  <si>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</si>
  <si>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</si>
  <si>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</si>
  <si>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</si>
  <si>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</si>
  <si>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</si>
  <si>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</si>
  <si>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</si>
  <si>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</si>
  <si>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</si>
  <si>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</si>
  <si>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</si>
  <si>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</si>
  <si>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</si>
  <si>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</si>
  <si>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</si>
  <si>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</si>
  <si>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</si>
  <si>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</si>
  <si>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</si>
  <si>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</si>
  <si>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</si>
  <si>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</si>
  <si>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</si>
  <si>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</si>
  <si>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</si>
  <si>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</si>
  <si>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</si>
  <si>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</si>
  <si>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</si>
  <si>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</si>
  <si>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</si>
  <si>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</si>
  <si>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</si>
  <si>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</si>
  <si>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</si>
  <si>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</si>
  <si>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</si>
  <si>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</si>
  <si>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</si>
  <si>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</si>
  <si>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</si>
  <si>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</si>
  <si>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</si>
  <si>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</si>
  <si>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</si>
  <si>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</si>
  <si>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</si>
  <si>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</si>
  <si>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</si>
  <si>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</si>
  <si>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</si>
  <si>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</si>
  <si>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</si>
  <si>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</si>
  <si>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</si>
  <si>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</si>
  <si>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</si>
  <si>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</si>
  <si>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</si>
  <si>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</si>
  <si>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</si>
  <si>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</si>
  <si>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</si>
  <si>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</si>
  <si>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</si>
  <si>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</si>
  <si>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</si>
  <si>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</si>
  <si>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</si>
  <si>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</si>
  <si>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</si>
  <si>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</si>
  <si>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</si>
  <si>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</si>
  <si>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</si>
  <si>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</si>
  <si>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</si>
  <si>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</si>
  <si>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</si>
  <si>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</si>
  <si>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</si>
  <si>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</si>
  <si>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</si>
  <si>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</si>
  <si>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</si>
  <si>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</si>
  <si>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</si>
  <si>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</si>
  <si>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</si>
  <si>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</si>
  <si>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</si>
  <si>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</si>
  <si>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</si>
  <si>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</si>
  <si>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</si>
  <si>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</si>
  <si>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</si>
  <si>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</si>
  <si>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</si>
  <si>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</si>
  <si>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</si>
  <si>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</si>
  <si>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</si>
  <si>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</si>
  <si>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</si>
  <si>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</si>
  <si>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</si>
  <si>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</si>
  <si>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</si>
  <si>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</si>
  <si>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</si>
  <si>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</si>
  <si>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</si>
  <si>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</si>
  <si>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</si>
  <si>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</si>
  <si>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</si>
  <si>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</si>
  <si>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</si>
  <si>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</si>
  <si>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</si>
  <si>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</si>
  <si>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</si>
  <si>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</si>
  <si>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</si>
  <si>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</si>
  <si>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</si>
  <si>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</si>
  <si>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</si>
  <si>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</si>
  <si>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</si>
  <si>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</si>
  <si>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</si>
  <si>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</si>
  <si>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</si>
  <si>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</si>
  <si>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</si>
  <si>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</si>
  <si>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</si>
  <si>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</si>
  <si>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</si>
  <si>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</si>
  <si>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</si>
  <si>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</si>
  <si>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</si>
  <si>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</si>
  <si>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</si>
  <si>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</si>
  <si>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</si>
  <si>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</si>
  <si>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</si>
  <si>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</si>
  <si>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</si>
  <si>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</si>
  <si>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</si>
  <si>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</si>
  <si>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</si>
  <si>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</si>
  <si>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</si>
  <si>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</si>
  <si>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</si>
  <si>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</si>
  <si>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</si>
  <si>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</si>
  <si>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</si>
  <si>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</si>
  <si>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</si>
  <si>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</si>
  <si>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</si>
  <si>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</si>
  <si>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</si>
  <si>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</si>
  <si>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</si>
  <si>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</si>
  <si>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</si>
  <si>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</si>
  <si>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</si>
  <si>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</si>
  <si>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</si>
  <si>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</si>
  <si>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</si>
  <si>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</si>
  <si>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</si>
  <si>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</si>
  <si>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</si>
  <si>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</si>
  <si>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</si>
  <si>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</si>
  <si>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</si>
  <si>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</si>
  <si>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</si>
  <si>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</si>
  <si>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</si>
  <si>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</si>
  <si>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</si>
  <si>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</si>
  <si>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</si>
  <si>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</si>
  <si>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</si>
  <si>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</si>
  <si>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</si>
  <si>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</si>
  <si>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</si>
  <si>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</si>
  <si>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</si>
  <si>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</si>
  <si>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</si>
  <si>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</si>
  <si>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</si>
  <si>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</si>
  <si>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</si>
  <si>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</si>
  <si>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</si>
  <si>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</si>
  <si>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</si>
  <si>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</si>
  <si>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</si>
  <si>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</si>
  <si>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</si>
  <si>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</si>
  <si>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</si>
  <si>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</si>
  <si>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</si>
  <si>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</si>
  <si>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</si>
  <si>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</si>
  <si>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</si>
  <si>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</si>
  <si>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</si>
  <si>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</si>
  <si>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</si>
  <si>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</si>
  <si>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</si>
  <si>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</si>
  <si>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</si>
  <si>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</si>
  <si>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</si>
  <si>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</si>
  <si>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</si>
  <si>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</si>
  <si>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</si>
  <si>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</si>
  <si>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</si>
  <si>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</si>
  <si>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</si>
  <si>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</si>
  <si>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</si>
  <si>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</si>
  <si>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</si>
  <si>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</si>
  <si>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</si>
  <si>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</si>
  <si>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</si>
  <si>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</si>
  <si>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</si>
  <si>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</si>
  <si>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</si>
  <si>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</si>
  <si>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</si>
  <si>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</si>
  <si>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</si>
  <si>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</si>
  <si>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</si>
  <si>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</si>
  <si>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</si>
  <si>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</si>
  <si>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</si>
  <si>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</si>
  <si>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</si>
  <si>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</si>
  <si>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</si>
  <si>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</si>
  <si>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</si>
  <si>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</si>
  <si>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</si>
  <si>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</si>
  <si>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</si>
  <si>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</si>
  <si>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</si>
  <si>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</si>
  <si>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</si>
  <si>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</si>
  <si>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</si>
  <si>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</si>
  <si>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</si>
  <si>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</si>
  <si>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</si>
  <si>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</si>
  <si>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</si>
  <si>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</si>
  <si>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</si>
  <si>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</si>
  <si>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</si>
  <si>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</si>
  <si>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</si>
  <si>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</si>
  <si>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</si>
  <si>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</si>
  <si>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</si>
  <si>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</si>
  <si>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</si>
  <si>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</si>
  <si>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</si>
  <si>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</si>
  <si>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</si>
  <si>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</si>
  <si>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</si>
  <si>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</si>
  <si>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</si>
  <si>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</si>
  <si>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</si>
  <si>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</si>
  <si>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</si>
  <si>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</si>
  <si>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</si>
  <si>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</si>
  <si>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</si>
  <si>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</si>
  <si>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</si>
  <si>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</si>
  <si>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</si>
  <si>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</si>
  <si>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</si>
  <si>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</si>
  <si>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</si>
  <si>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</si>
  <si>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</si>
  <si>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</si>
  <si>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</si>
  <si>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</si>
  <si>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</si>
  <si>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</si>
  <si>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</si>
  <si>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</si>
  <si>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</si>
  <si>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</si>
  <si>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</si>
  <si>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</si>
  <si>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</si>
  <si>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</si>
  <si>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</si>
  <si>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</si>
  <si>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</si>
  <si>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</si>
  <si>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</si>
  <si>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</si>
  <si>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</si>
  <si>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</si>
  <si>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</si>
  <si>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</si>
  <si>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</si>
  <si>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</si>
  <si>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</si>
  <si>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</si>
  <si>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</si>
  <si>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</si>
  <si>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</si>
  <si>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</si>
  <si>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</si>
  <si>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</si>
  <si>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</si>
  <si>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</si>
  <si>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</si>
  <si>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</si>
  <si>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</si>
  <si>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</si>
  <si>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</si>
  <si>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</si>
  <si>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</si>
  <si>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</si>
  <si>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</si>
  <si>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</si>
  <si>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</si>
  <si>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</si>
  <si>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</si>
  <si>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</si>
  <si>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</si>
  <si>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</si>
  <si>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</si>
  <si>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</si>
  <si>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</si>
  <si>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</si>
  <si>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</si>
  <si>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</si>
  <si>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</si>
  <si>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</si>
  <si>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</si>
  <si>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</si>
  <si>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</si>
  <si>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</si>
  <si>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</si>
  <si>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</si>
  <si>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</si>
  <si>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</si>
  <si>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</si>
  <si>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</si>
  <si>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</si>
  <si>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</si>
  <si>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</si>
  <si>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</si>
  <si>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</si>
  <si>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</si>
  <si>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</si>
  <si>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</si>
  <si>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</si>
  <si>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</si>
  <si>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</si>
  <si>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</si>
  <si>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</si>
  <si>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</si>
  <si>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</si>
  <si>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</si>
  <si>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</si>
  <si>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</si>
  <si>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</si>
  <si>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</si>
  <si>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</si>
  <si>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</si>
  <si>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</si>
  <si>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</si>
  <si>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</si>
  <si>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</si>
  <si>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</si>
  <si>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</si>
  <si>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</si>
  <si>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</si>
  <si>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</si>
  <si>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</si>
  <si>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</si>
  <si>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</si>
  <si>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</si>
  <si>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</si>
  <si>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</si>
  <si>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</si>
  <si>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</si>
  <si>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</si>
  <si>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</si>
  <si>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</si>
  <si>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</si>
  <si>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</si>
  <si>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</si>
  <si>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</si>
  <si>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</si>
  <si>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</si>
  <si>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</si>
  <si>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</si>
  <si>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</si>
  <si>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</si>
  <si>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</si>
  <si>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</si>
  <si>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</si>
  <si>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</si>
  <si>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</si>
  <si>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</si>
  <si>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</si>
  <si>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</si>
  <si>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</si>
  <si>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</si>
  <si>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</si>
  <si>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</si>
  <si>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</si>
  <si>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</si>
  <si>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</si>
  <si>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</si>
  <si>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</si>
  <si>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</si>
  <si>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</si>
  <si>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</si>
  <si>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</si>
  <si>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</si>
  <si>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</si>
  <si>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</si>
  <si>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</si>
  <si>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</si>
  <si>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</si>
  <si>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</si>
  <si>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</si>
  <si>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</si>
  <si>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</si>
  <si>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</si>
  <si>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</si>
  <si>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</si>
  <si>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</si>
  <si>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</si>
  <si>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</si>
  <si>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</si>
  <si>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</si>
  <si>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</si>
  <si>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</si>
  <si>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</si>
  <si>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</si>
  <si>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</si>
  <si>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</si>
  <si>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</si>
  <si>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</si>
  <si>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</si>
  <si>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</si>
  <si>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</si>
  <si>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</si>
  <si>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</si>
  <si>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</si>
  <si>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</si>
  <si>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</si>
  <si>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</si>
  <si>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</si>
  <si>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</si>
  <si>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</si>
  <si>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</si>
  <si>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</si>
  <si>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</si>
  <si>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</si>
  <si>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</si>
  <si>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</si>
  <si>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</si>
  <si>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</si>
  <si>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</si>
  <si>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</si>
  <si>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</si>
  <si>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</si>
  <si>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</si>
  <si>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</si>
  <si>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</si>
  <si>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</si>
  <si>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</si>
  <si>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</si>
  <si>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</si>
  <si>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</si>
  <si>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</si>
  <si>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</si>
  <si>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</si>
  <si>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</si>
  <si>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</si>
  <si>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</si>
  <si>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</si>
  <si>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</si>
  <si>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</si>
  <si>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</si>
  <si>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</si>
  <si>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</si>
  <si>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</si>
  <si>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</si>
  <si>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</si>
  <si>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</si>
  <si>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</si>
  <si>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</si>
  <si>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</si>
  <si>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</si>
  <si>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</si>
  <si>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</si>
  <si>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</si>
  <si>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</si>
  <si>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</si>
  <si>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</si>
  <si>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</si>
  <si>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</si>
  <si>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</si>
  <si>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</si>
  <si>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</si>
  <si>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</si>
  <si>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</si>
  <si>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</si>
  <si>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</si>
  <si>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</si>
  <si>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</si>
  <si>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</si>
  <si>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</si>
  <si>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</si>
  <si>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</si>
  <si>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</si>
  <si>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</si>
  <si>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</si>
  <si>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</si>
  <si>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</si>
  <si>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</si>
  <si>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</si>
  <si>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</si>
  <si>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</si>
  <si>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</si>
  <si>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</si>
  <si>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</si>
  <si>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</si>
  <si>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</si>
  <si>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</si>
  <si>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</si>
  <si>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</si>
  <si>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</si>
  <si>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</si>
  <si>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</si>
  <si>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</si>
  <si>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</si>
  <si>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</si>
  <si>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</si>
  <si>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</si>
  <si>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</si>
  <si>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</si>
  <si>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</si>
  <si>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</si>
  <si>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</si>
  <si>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</si>
  <si>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</si>
  <si>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</si>
  <si>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</si>
  <si>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</si>
  <si>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</si>
  <si>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</si>
  <si>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</si>
  <si>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</si>
  <si>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</si>
  <si>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</si>
  <si>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</si>
  <si>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</si>
  <si>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</si>
  <si>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</si>
  <si>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</si>
  <si>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</si>
  <si>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</si>
  <si>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</si>
  <si>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</si>
  <si>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</si>
  <si>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</si>
  <si>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</si>
  <si>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</si>
  <si>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</si>
  <si>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</si>
  <si>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</si>
  <si>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</si>
  <si>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</si>
  <si>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</si>
  <si>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</si>
  <si>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</si>
  <si>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</si>
  <si>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</si>
  <si>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</si>
  <si>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</si>
  <si>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</si>
  <si>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</si>
  <si>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</si>
  <si>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</si>
  <si>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</si>
  <si>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</si>
  <si>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</si>
  <si>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</si>
  <si>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</si>
  <si>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</si>
  <si>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</si>
  <si>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</si>
  <si>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</si>
  <si>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</si>
  <si>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</si>
  <si>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</si>
  <si>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</si>
  <si>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</si>
  <si>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</si>
  <si>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</si>
  <si>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</si>
  <si>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</si>
  <si>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</si>
  <si>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</si>
  <si>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</si>
  <si>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</si>
  <si>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</si>
  <si>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</si>
  <si>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</si>
  <si>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</si>
  <si>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</si>
  <si>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</si>
  <si>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</si>
  <si>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</si>
  <si>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</si>
  <si>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</si>
  <si>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</si>
  <si>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</si>
  <si>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</si>
  <si>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</si>
  <si>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</si>
  <si>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</si>
  <si>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</si>
  <si>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</si>
  <si>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</si>
  <si>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</si>
  <si>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</si>
  <si>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</si>
  <si>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</si>
  <si>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</si>
  <si>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</si>
  <si>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</si>
  <si>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</si>
  <si>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</si>
  <si>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</si>
  <si>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</si>
  <si>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</si>
  <si>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</si>
  <si>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</si>
  <si>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</si>
  <si>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</si>
  <si>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</si>
  <si>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</si>
  <si>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</si>
  <si>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</si>
  <si>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</si>
  <si>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</si>
  <si>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</si>
  <si>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</si>
  <si>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</si>
  <si>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</si>
  <si>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</si>
  <si>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</si>
  <si>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</si>
  <si>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</si>
  <si>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</si>
  <si>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</si>
  <si>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</si>
  <si>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</si>
  <si>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</si>
  <si>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</si>
  <si>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</si>
  <si>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</si>
  <si>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</si>
  <si>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</si>
  <si>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</si>
  <si>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</si>
  <si>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</si>
  <si>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</si>
  <si>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</si>
  <si>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</si>
  <si>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</si>
  <si>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</si>
  <si>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</si>
  <si>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</si>
  <si>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</si>
  <si>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</si>
  <si>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</si>
  <si>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</si>
  <si>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</si>
  <si>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</si>
  <si>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</si>
  <si>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</si>
  <si>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</si>
  <si>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</si>
  <si>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</si>
  <si>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</si>
  <si>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</si>
  <si>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</si>
  <si>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</si>
  <si>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</si>
  <si>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</si>
  <si>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</si>
  <si>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</si>
  <si>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</si>
  <si>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</si>
  <si>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</si>
  <si>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</si>
  <si>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</si>
  <si>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</si>
  <si>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</si>
  <si>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</si>
  <si>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</si>
  <si>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</si>
  <si>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</si>
  <si>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</si>
  <si>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</si>
  <si>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</si>
  <si>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</si>
  <si>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</si>
  <si>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</si>
  <si>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</si>
  <si>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</si>
  <si>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</si>
  <si>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</si>
  <si>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</si>
  <si>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</si>
  <si>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</si>
  <si>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</si>
  <si>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</si>
  <si>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</si>
  <si>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</si>
  <si>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</si>
  <si>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</si>
  <si>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</si>
  <si>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</si>
  <si>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</si>
  <si>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</si>
  <si>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</si>
  <si>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</si>
  <si>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</si>
  <si>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</si>
  <si>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</si>
  <si>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</si>
  <si>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</si>
  <si>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</si>
  <si>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</si>
  <si>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</si>
  <si>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</si>
  <si>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</si>
  <si>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</si>
  <si>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</si>
  <si>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</si>
  <si>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</si>
  <si>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</si>
  <si>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</si>
  <si>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</si>
  <si>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</si>
  <si>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</si>
  <si>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</si>
  <si>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</si>
  <si>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</si>
  <si>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</si>
  <si>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</si>
  <si>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</si>
  <si>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</si>
  <si>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</si>
  <si>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</si>
  <si>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</si>
  <si>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</si>
  <si>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</si>
  <si>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</si>
  <si>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</si>
  <si>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</si>
  <si>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</si>
  <si>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</si>
  <si>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</si>
  <si>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</si>
  <si>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</si>
  <si>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</si>
  <si>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</si>
  <si>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</si>
  <si>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</si>
  <si>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</si>
  <si>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</si>
  <si>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</si>
  <si>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</si>
  <si>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</si>
  <si>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</si>
  <si>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</si>
  <si>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</si>
  <si>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</si>
  <si>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</si>
  <si>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</si>
  <si>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</si>
  <si>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</si>
  <si>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</si>
  <si>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</si>
  <si>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</si>
  <si>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</si>
  <si>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</si>
  <si>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</si>
  <si>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</si>
  <si>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</si>
  <si>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</si>
  <si>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</si>
  <si>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</si>
  <si>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</si>
  <si>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</si>
  <si>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</si>
  <si>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</si>
  <si>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</si>
  <si>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</si>
  <si>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</si>
  <si>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</si>
  <si>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</si>
  <si>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</si>
  <si>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</si>
  <si>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</si>
  <si>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</si>
  <si>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</si>
  <si>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</si>
  <si>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</si>
  <si>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</si>
  <si>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</si>
  <si>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</si>
  <si>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</si>
  <si>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</si>
  <si>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</si>
  <si>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</si>
  <si>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</si>
  <si>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</si>
  <si>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</si>
  <si>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</si>
  <si>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</si>
  <si>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</si>
  <si>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</si>
  <si>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</si>
  <si>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</si>
  <si>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</si>
  <si>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</si>
  <si>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</si>
  <si>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</si>
  <si>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</si>
  <si>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</si>
  <si>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</si>
  <si>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</si>
  <si>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</si>
  <si>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</si>
  <si>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</si>
  <si>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</si>
  <si>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</si>
  <si>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</si>
  <si>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</si>
  <si>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</si>
  <si>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</si>
  <si>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</si>
  <si>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</si>
  <si>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</si>
  <si>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</si>
  <si>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</si>
  <si>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</si>
  <si>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</si>
  <si>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</si>
  <si>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</si>
  <si>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</si>
  <si>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</si>
  <si>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</si>
  <si>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</si>
  <si>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</si>
  <si>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</si>
  <si>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</si>
  <si>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</si>
  <si>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</si>
  <si>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</si>
  <si>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</si>
  <si>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</si>
  <si>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</si>
  <si>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</si>
  <si>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</si>
  <si>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</si>
  <si>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</si>
  <si>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</si>
  <si>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</si>
  <si>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</si>
  <si>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</si>
  <si>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</si>
  <si>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</si>
  <si>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</si>
  <si>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</si>
  <si>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</si>
  <si>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</si>
  <si>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</si>
  <si>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</si>
  <si>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</si>
  <si>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</si>
  <si>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</si>
  <si>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</si>
  <si>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</si>
  <si>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</si>
  <si>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</si>
  <si>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</si>
  <si>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</si>
  <si>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</si>
  <si>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</si>
  <si>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</si>
  <si>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</si>
  <si>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</si>
  <si>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</si>
  <si>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</si>
  <si>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</si>
  <si>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</si>
  <si>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</si>
  <si>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</si>
  <si>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</si>
  <si>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</si>
  <si>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</si>
  <si>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</si>
  <si>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</si>
  <si>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</si>
  <si>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</si>
  <si>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</si>
  <si>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</si>
  <si>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</si>
  <si>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</si>
  <si>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</si>
  <si>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</si>
  <si>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</si>
  <si>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</si>
  <si>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</si>
  <si>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</si>
  <si>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</si>
  <si>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</si>
  <si>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</si>
  <si>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</si>
  <si>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</si>
  <si>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</si>
  <si>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</si>
  <si>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</si>
  <si>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</si>
  <si>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</si>
  <si>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</si>
  <si>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</si>
  <si>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</si>
  <si>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</si>
  <si>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</si>
  <si>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</si>
  <si>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</si>
  <si>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</si>
  <si>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</si>
  <si>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</si>
  <si>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</si>
  <si>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</si>
  <si>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</si>
  <si>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</si>
  <si>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</si>
  <si>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</si>
  <si>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</si>
  <si>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</si>
  <si>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</si>
  <si>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</si>
  <si>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</si>
  <si>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</si>
  <si>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</si>
  <si>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</si>
  <si>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</si>
  <si>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</si>
  <si>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</si>
  <si>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</si>
  <si>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</si>
  <si>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</si>
  <si>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</si>
  <si>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</si>
  <si>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</si>
  <si>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</si>
  <si>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</si>
  <si>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</si>
  <si>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</si>
  <si>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</si>
  <si>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</si>
  <si>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</si>
  <si>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</si>
  <si>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</si>
  <si>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</si>
  <si>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</si>
  <si>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</si>
  <si>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</si>
  <si>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</si>
  <si>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</si>
  <si>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</si>
  <si>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</si>
  <si>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</si>
  <si>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</si>
  <si>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</si>
  <si>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</si>
  <si>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</si>
  <si>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</si>
  <si>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</si>
  <si>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</si>
  <si>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</si>
  <si>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</si>
  <si>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</si>
  <si>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</si>
  <si>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</si>
  <si>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</si>
  <si>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</si>
  <si>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</si>
  <si>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</si>
  <si>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</si>
  <si>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</si>
  <si>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</si>
  <si>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</si>
  <si>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</si>
  <si>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</si>
  <si>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</si>
  <si>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</si>
  <si>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</si>
  <si>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</si>
  <si>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</si>
  <si>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</si>
  <si>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</si>
  <si>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</si>
  <si>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</si>
  <si>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</si>
  <si>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</si>
  <si>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</si>
  <si>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</si>
  <si>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</si>
  <si>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</si>
  <si>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</si>
  <si>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</si>
  <si>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</si>
  <si>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</si>
  <si>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</si>
  <si>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</si>
  <si>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</si>
  <si>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</si>
  <si>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</si>
  <si>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</si>
  <si>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</si>
  <si>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</si>
  <si>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</si>
  <si>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</si>
  <si>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</si>
  <si>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</si>
  <si>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</si>
  <si>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</si>
  <si>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</si>
  <si>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</si>
  <si>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</si>
  <si>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</si>
  <si>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</si>
  <si>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</si>
  <si>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</si>
  <si>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</si>
  <si>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</si>
  <si>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</si>
  <si>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</si>
  <si>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</si>
  <si>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</si>
  <si>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</si>
  <si>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</si>
  <si>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</si>
  <si>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</si>
  <si>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</si>
  <si>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</si>
  <si>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</si>
  <si>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</si>
  <si>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</si>
  <si>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</si>
  <si>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</si>
  <si>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</si>
  <si>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</si>
  <si>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</si>
  <si>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</si>
  <si>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</si>
  <si>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</si>
  <si>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</si>
  <si>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</si>
  <si>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</si>
  <si>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</si>
  <si>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</si>
  <si>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</si>
  <si>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</si>
  <si>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</si>
  <si>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</si>
  <si>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</si>
  <si>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</si>
  <si>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</si>
  <si>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</si>
  <si>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</si>
  <si>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</si>
  <si>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</si>
  <si>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</si>
  <si>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</si>
  <si>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</si>
  <si>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</si>
  <si>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</si>
  <si>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</si>
  <si>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</si>
  <si>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</si>
  <si>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</si>
  <si>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</si>
  <si>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</si>
  <si>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</si>
  <si>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</si>
  <si>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</si>
  <si>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</si>
  <si>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</si>
  <si>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</si>
  <si>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</si>
  <si>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</si>
  <si>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</si>
  <si>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</si>
  <si>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</si>
  <si>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</si>
  <si>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</si>
  <si>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</si>
  <si>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</si>
  <si>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</si>
  <si>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</si>
  <si>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</si>
  <si>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</si>
  <si>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</si>
  <si>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</si>
  <si>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</si>
  <si>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</si>
  <si>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</si>
  <si>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</si>
  <si>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</si>
  <si>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</si>
  <si>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</si>
  <si>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</si>
  <si>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</si>
  <si>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</si>
  <si>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</si>
  <si>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</si>
  <si>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</si>
  <si>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</si>
  <si>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</si>
  <si>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</si>
  <si>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</si>
  <si>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</si>
  <si>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</si>
  <si>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</si>
  <si>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</si>
  <si>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</si>
  <si>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</si>
  <si>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</si>
  <si>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</si>
  <si>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</si>
  <si>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</si>
  <si>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</si>
  <si>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</si>
  <si>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</si>
  <si>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</si>
  <si>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</si>
  <si>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</si>
  <si>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</si>
  <si>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</si>
  <si>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</si>
  <si>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</si>
  <si>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</si>
  <si>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</si>
  <si>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</si>
  <si>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</si>
  <si>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</si>
  <si>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</si>
  <si>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</si>
  <si>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</si>
  <si>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</si>
  <si>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</si>
  <si>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</si>
  <si>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</si>
  <si>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</si>
  <si>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</si>
  <si>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</si>
  <si>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</si>
  <si>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</si>
  <si>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</si>
  <si>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</si>
  <si>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</si>
  <si>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</si>
  <si>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</si>
  <si>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</si>
  <si>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</si>
  <si>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</si>
  <si>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</si>
  <si>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</si>
  <si>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</si>
  <si>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</si>
  <si>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</si>
  <si>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</si>
  <si>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</si>
  <si>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</si>
  <si>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</si>
  <si>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</si>
  <si>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</si>
  <si>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</si>
  <si>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</si>
  <si>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</si>
  <si>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</si>
  <si>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</si>
  <si>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</si>
  <si>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</si>
  <si>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</si>
  <si>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</si>
  <si>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</si>
  <si>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</si>
  <si>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</si>
  <si>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</si>
  <si>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</si>
  <si>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</si>
  <si>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</si>
  <si>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</si>
  <si>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</si>
  <si>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</si>
  <si>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</si>
  <si>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</si>
  <si>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</si>
  <si>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</si>
  <si>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</si>
  <si>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</si>
  <si>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</si>
  <si>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</si>
  <si>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</si>
  <si>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</si>
  <si>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</si>
  <si>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</si>
  <si>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</si>
  <si>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</si>
  <si>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</si>
  <si>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</si>
  <si>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</si>
  <si>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</si>
  <si>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</si>
  <si>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</si>
  <si>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</si>
  <si>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</si>
  <si>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</si>
  <si>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</si>
  <si>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</si>
  <si>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</si>
  <si>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</si>
  <si>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</si>
  <si>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</si>
  <si>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</si>
  <si>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</si>
  <si>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</si>
  <si>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</si>
  <si>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</si>
  <si>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</si>
  <si>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</si>
  <si>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</si>
  <si>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</si>
  <si>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</si>
  <si>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</si>
  <si>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</si>
  <si>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</si>
  <si>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</si>
  <si>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</si>
  <si>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</si>
  <si>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</si>
  <si>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</si>
  <si>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</si>
  <si>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</si>
  <si>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</si>
  <si>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</si>
  <si>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</si>
  <si>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</si>
  <si>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</si>
  <si>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</si>
  <si>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</si>
  <si>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</si>
  <si>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</si>
  <si>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</si>
  <si>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</si>
  <si>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</si>
  <si>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</si>
  <si>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</si>
  <si>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</si>
  <si>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</si>
  <si>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</si>
  <si>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</si>
  <si>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</si>
  <si>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</si>
  <si>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</si>
  <si>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</si>
  <si>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</si>
  <si>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</si>
  <si>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</si>
  <si>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</si>
  <si>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</si>
  <si>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</si>
  <si>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</si>
  <si>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</si>
  <si>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</si>
  <si>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</si>
  <si>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</si>
  <si>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</si>
  <si>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</si>
  <si>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</si>
  <si>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</si>
  <si>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</si>
  <si>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</si>
  <si>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</si>
  <si>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</si>
  <si>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</si>
  <si>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</si>
  <si>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</si>
  <si>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</si>
  <si>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</si>
  <si>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</si>
  <si>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</si>
  <si>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</si>
  <si>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</si>
  <si>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</si>
  <si>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</si>
  <si>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</si>
  <si>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</si>
  <si>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</si>
  <si>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</si>
  <si>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</si>
  <si>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</si>
  <si>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</si>
  <si>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</si>
  <si>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</si>
  <si>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</si>
  <si>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</si>
  <si>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</si>
  <si>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</si>
  <si>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</si>
  <si>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</si>
  <si>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</si>
  <si>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</si>
  <si>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</si>
  <si>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</si>
  <si>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</si>
  <si>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</si>
  <si>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</si>
  <si>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</si>
  <si>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</si>
  <si>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</si>
  <si>
    <t>SPS4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</si>
</sst>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4_bau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1.4304995530085263E-3</v>
          </cell>
          <cell r="G4">
            <v>2.7808696772669045E-3</v>
          </cell>
          <cell r="H4">
            <v>3.1408432382465101E-3</v>
          </cell>
          <cell r="I4">
            <v>1.4726533752805915</v>
          </cell>
          <cell r="J4">
            <v>2.2089781223718314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1.4304995530085263E-3</v>
          </cell>
          <cell r="G5">
            <v>2.7808696772669045E-3</v>
          </cell>
          <cell r="H5">
            <v>3.1408432382465101E-3</v>
          </cell>
          <cell r="I5">
            <v>1.4726533752805915</v>
          </cell>
          <cell r="J5">
            <v>2.2089781223718314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1.7197108421566101E-4</v>
          </cell>
          <cell r="G6">
            <v>1.34522513772903E-4</v>
          </cell>
          <cell r="H6">
            <v>3.4289788041780502E-5</v>
          </cell>
          <cell r="I6">
            <v>0.16937235728660699</v>
          </cell>
          <cell r="J6">
            <v>8.7401095008420998E-2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1.7197108421566101E-4</v>
          </cell>
          <cell r="G7">
            <v>3.0649359798856299E-4</v>
          </cell>
          <cell r="H7">
            <v>3.4078338603034402E-4</v>
          </cell>
          <cell r="I7">
            <v>0.17009552775636999</v>
          </cell>
          <cell r="J7">
            <v>0.25749662276479102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3.2682066639566409</v>
          </cell>
          <cell r="F8">
            <v>3.8319824274544021</v>
          </cell>
          <cell r="G8">
            <v>0.67787541981990074</v>
          </cell>
          <cell r="H8">
            <v>1.1788593396725433</v>
          </cell>
          <cell r="I8">
            <v>1.9124801932954423</v>
          </cell>
          <cell r="J8">
            <v>2.4968753574877889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3.2682066639566409</v>
          </cell>
          <cell r="F9">
            <v>3.8319824274544021</v>
          </cell>
          <cell r="G9">
            <v>0.67787541981990074</v>
          </cell>
          <cell r="H9">
            <v>1.1788593396725433</v>
          </cell>
          <cell r="I9">
            <v>1.9124801932954423</v>
          </cell>
          <cell r="J9">
            <v>2.4968753574877889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0.66996410176003762</v>
          </cell>
          <cell r="F10">
            <v>9.1571773408390011E-2</v>
          </cell>
          <cell r="G10">
            <v>5.8274262397919815E-2</v>
          </cell>
          <cell r="H10">
            <v>0.31691070848397807</v>
          </cell>
          <cell r="I10">
            <v>5.1727535914555735E-2</v>
          </cell>
          <cell r="J10">
            <v>1.4293778279159095E-2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2.0850229374421652</v>
          </cell>
          <cell r="F11">
            <v>0.266857359726828</v>
          </cell>
          <cell r="G11">
            <v>0.15251877855182669</v>
          </cell>
          <cell r="H11">
            <v>0.67260326624777078</v>
          </cell>
          <cell r="I11">
            <v>5.8587026011682898E-2</v>
          </cell>
          <cell r="J11">
            <v>1.5798386519070631E-2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108.134449200753</v>
          </cell>
          <cell r="F12">
            <v>14.689096132654299</v>
          </cell>
          <cell r="G12">
            <v>9.3160867902714397</v>
          </cell>
          <cell r="H12">
            <v>49.656481292247499</v>
          </cell>
          <cell r="I12">
            <v>8.1799137749306308</v>
          </cell>
          <cell r="J12">
            <v>2.26166500829479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1.9172774680984599</v>
          </cell>
          <cell r="F13">
            <v>0.2604449668910343</v>
          </cell>
          <cell r="G13">
            <v>0.16517884379913891</v>
          </cell>
          <cell r="H13">
            <v>0.88043406546538183</v>
          </cell>
          <cell r="I13">
            <v>0.14503393217962107</v>
          </cell>
          <cell r="J13">
            <v>4.0100443409482128E-2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2.1490481107419901E-7</v>
          </cell>
          <cell r="G14">
            <v>9.90644451061623E-7</v>
          </cell>
          <cell r="H14">
            <v>8.0440597733755607E-3</v>
          </cell>
          <cell r="I14">
            <v>1.57722291370012E-4</v>
          </cell>
          <cell r="J14">
            <v>2.3227561220682898E-6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2.9447877823313207E-2</v>
          </cell>
          <cell r="F15">
            <v>2.1779770564172574E-2</v>
          </cell>
          <cell r="G15">
            <v>1.3858692661458137E-2</v>
          </cell>
          <cell r="H15">
            <v>1.22517741982333E-2</v>
          </cell>
          <cell r="I15">
            <v>8.2051832555706476E-3</v>
          </cell>
          <cell r="J15">
            <v>2.2538154511832129E-3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6.7990980764669917</v>
          </cell>
          <cell r="F16">
            <v>1.856807367376446E-4</v>
          </cell>
          <cell r="G16">
            <v>1.6304639889949565E-4</v>
          </cell>
          <cell r="H16">
            <v>7.1596818422577535E-5</v>
          </cell>
          <cell r="I16">
            <v>9.2266940484499714E-5</v>
          </cell>
          <cell r="J16">
            <v>8.5749673302188453E-5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6.7990980764669917</v>
          </cell>
          <cell r="F17">
            <v>1.856807367376446E-4</v>
          </cell>
          <cell r="G17">
            <v>1.6304639889949565E-4</v>
          </cell>
          <cell r="H17">
            <v>7.1596818422577535E-5</v>
          </cell>
          <cell r="I17">
            <v>9.2266940484499714E-5</v>
          </cell>
          <cell r="J17">
            <v>8.5749673302188453E-5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3.3451129027190802E-7</v>
          </cell>
          <cell r="F18">
            <v>2.8333711943705399E-7</v>
          </cell>
          <cell r="G18">
            <v>3.4366000259287103E-7</v>
          </cell>
          <cell r="H18">
            <v>3.3746400145027198E-7</v>
          </cell>
          <cell r="I18">
            <v>4.3758337341652103E-7</v>
          </cell>
          <cell r="J18">
            <v>6.71256684391195E-7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1.4618484750079495</v>
          </cell>
          <cell r="F19">
            <v>1.9801322292001267E-4</v>
          </cell>
          <cell r="G19">
            <v>1.9386288583000955E-4</v>
          </cell>
          <cell r="H19">
            <v>1.8721512150499109E-4</v>
          </cell>
          <cell r="I19">
            <v>1.8640312075390852E-4</v>
          </cell>
          <cell r="J19">
            <v>1.865265252887216E-4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4.5798565478705265E-4</v>
          </cell>
          <cell r="F20">
            <v>4.5686079856880365E-4</v>
          </cell>
          <cell r="G20">
            <v>4.595123026060513E-4</v>
          </cell>
          <cell r="H20">
            <v>1.6870672669281183E-3</v>
          </cell>
          <cell r="I20">
            <v>2.4744392116103622E-3</v>
          </cell>
          <cell r="J20">
            <v>1.7817831779878125E-3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4.5798565478705227E-4</v>
          </cell>
          <cell r="F21">
            <v>4.5686079856880333E-4</v>
          </cell>
          <cell r="G21">
            <v>4.5951230260605065E-4</v>
          </cell>
          <cell r="H21">
            <v>1.6870672669281168E-3</v>
          </cell>
          <cell r="I21">
            <v>2.47443921161036E-3</v>
          </cell>
          <cell r="J21">
            <v>1.7817831779878104E-3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5.0821935226933953E-4</v>
          </cell>
          <cell r="F22">
            <v>5.0704072345211771E-4</v>
          </cell>
          <cell r="G22">
            <v>5.085401540163519E-4</v>
          </cell>
          <cell r="H22">
            <v>1.865876096690528E-3</v>
          </cell>
          <cell r="I22">
            <v>2.7367048605710831E-3</v>
          </cell>
          <cell r="J22">
            <v>1.9705963286369794E-3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5.0821935226933953E-4</v>
          </cell>
          <cell r="F23">
            <v>5.0704072345211771E-4</v>
          </cell>
          <cell r="G23">
            <v>5.085401540163519E-4</v>
          </cell>
          <cell r="H23">
            <v>1.865876096690528E-3</v>
          </cell>
          <cell r="I23">
            <v>2.7367048605710831E-3</v>
          </cell>
          <cell r="J23">
            <v>1.9705963286369794E-3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1.8486171630266999E-4</v>
          </cell>
          <cell r="F24">
            <v>2.86859175023017E-7</v>
          </cell>
          <cell r="G24">
            <v>9.7976810578791296E-7</v>
          </cell>
          <cell r="H24">
            <v>5.5462116018856699E-4</v>
          </cell>
          <cell r="I24">
            <v>7.9724869096974601E-4</v>
          </cell>
          <cell r="J24">
            <v>3.09251514942514E-4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1.8723741913291548E-4</v>
          </cell>
          <cell r="F25">
            <v>1.874191799570777E-4</v>
          </cell>
          <cell r="G25">
            <v>1.882564956004186E-4</v>
          </cell>
          <cell r="H25">
            <v>6.9084689499116338E-4</v>
          </cell>
          <cell r="I25">
            <v>1.0132068224271353E-3</v>
          </cell>
          <cell r="J25">
            <v>7.2965409406778963E-4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7.6507217522338162E-6</v>
          </cell>
          <cell r="F26">
            <v>6.2391245258574564E-5</v>
          </cell>
          <cell r="G26">
            <v>7.0749759299736134E-2</v>
          </cell>
          <cell r="H26">
            <v>9.6642934537373423E-2</v>
          </cell>
          <cell r="I26">
            <v>0.53640081238806703</v>
          </cell>
          <cell r="J26">
            <v>0.2448694570830979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7.6507217522338061E-6</v>
          </cell>
          <cell r="F27">
            <v>6.2340290232075721E-5</v>
          </cell>
          <cell r="G27">
            <v>7.0659517259812968E-2</v>
          </cell>
          <cell r="H27">
            <v>9.6642934537373576E-2</v>
          </cell>
          <cell r="I27">
            <v>0.53640081238806736</v>
          </cell>
          <cell r="J27">
            <v>0.2448694570830979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6.2968845590218164E-6</v>
          </cell>
          <cell r="F28">
            <v>7.5901758193071264E-5</v>
          </cell>
          <cell r="G28">
            <v>8.4224260928854197E-2</v>
          </cell>
          <cell r="H28">
            <v>0.11108358083688118</v>
          </cell>
          <cell r="I28">
            <v>0.57677932151866407</v>
          </cell>
          <cell r="J28">
            <v>0.24734666322836477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6.2968845590218164E-6</v>
          </cell>
          <cell r="F29">
            <v>7.5901758193071264E-5</v>
          </cell>
          <cell r="G29">
            <v>8.4224260928854197E-2</v>
          </cell>
          <cell r="H29">
            <v>0.11108358083688118</v>
          </cell>
          <cell r="I29">
            <v>0.57677932151866407</v>
          </cell>
          <cell r="J29">
            <v>0.24734666322836477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1.25365877484103E-3</v>
          </cell>
          <cell r="F30">
            <v>1.70944240024899E-5</v>
          </cell>
          <cell r="G30">
            <v>3.1883520666147699E-3</v>
          </cell>
          <cell r="H30">
            <v>1.61490709661059E-3</v>
          </cell>
          <cell r="I30">
            <v>5.6807449427876897E-3</v>
          </cell>
          <cell r="J30">
            <v>4.5923335728479597E-5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1.25365877484103E-3</v>
          </cell>
          <cell r="F31">
            <v>1.2693427100577436E-3</v>
          </cell>
          <cell r="G31">
            <v>4.4539005562475179E-3</v>
          </cell>
          <cell r="H31">
            <v>6.0607448104950312E-3</v>
          </cell>
          <cell r="I31">
            <v>3.3469154300289801E-2</v>
          </cell>
          <cell r="J31">
            <v>1.5216196660102342E-2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3.2259276394848657E-2</v>
          </cell>
          <cell r="J32">
            <v>0.17773105114189333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3.2585127671564323E-2</v>
          </cell>
          <cell r="J33">
            <v>0.17952631428474067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2.9661279289129002E-7</v>
          </cell>
          <cell r="I34">
            <v>4.1543350563958302E-3</v>
          </cell>
          <cell r="J34">
            <v>1.9823840499667501E-2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2.9661279289129002E-7</v>
          </cell>
          <cell r="I35">
            <v>4.1555332962365504E-3</v>
          </cell>
          <cell r="J35">
            <v>2.3979373795904001E-2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4.5588022761996973E-4</v>
          </cell>
          <cell r="F36">
            <v>4.5475636653748413E-4</v>
          </cell>
          <cell r="G36">
            <v>4.5751844756875118E-4</v>
          </cell>
          <cell r="H36">
            <v>1.6430017431909583E-3</v>
          </cell>
          <cell r="I36">
            <v>2.6871148855517548E-3</v>
          </cell>
          <cell r="J36">
            <v>2.1490381507712326E-3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4.5588022761996913E-4</v>
          </cell>
          <cell r="F37">
            <v>4.547563665374838E-4</v>
          </cell>
          <cell r="G37">
            <v>4.5751844756875074E-4</v>
          </cell>
          <cell r="H37">
            <v>1.6430017431909563E-3</v>
          </cell>
          <cell r="I37">
            <v>2.687114885551753E-3</v>
          </cell>
          <cell r="J37">
            <v>2.14903815077123E-3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5.0589103448395059E-4</v>
          </cell>
          <cell r="F38">
            <v>5.0478232612025694E-4</v>
          </cell>
          <cell r="G38">
            <v>5.061731859086323E-4</v>
          </cell>
          <cell r="H38">
            <v>1.8171444940869696E-3</v>
          </cell>
          <cell r="I38">
            <v>2.9718111595252719E-3</v>
          </cell>
          <cell r="J38">
            <v>2.3766920943462315E-3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5.0589103448395059E-4</v>
          </cell>
          <cell r="F39">
            <v>5.0478232612025694E-4</v>
          </cell>
          <cell r="G39">
            <v>5.061731859086323E-4</v>
          </cell>
          <cell r="H39">
            <v>1.8171444940869696E-3</v>
          </cell>
          <cell r="I39">
            <v>2.9718111595252719E-3</v>
          </cell>
          <cell r="J39">
            <v>2.3766920943462315E-3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1.84266537095057E-4</v>
          </cell>
          <cell r="F40">
            <v>2.8591908519837699E-7</v>
          </cell>
          <cell r="G40">
            <v>9.6983229316948595E-7</v>
          </cell>
          <cell r="H40">
            <v>5.3702918880533601E-4</v>
          </cell>
          <cell r="I40">
            <v>8.8132922920287102E-4</v>
          </cell>
          <cell r="J40">
            <v>4.16495162342949E-4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1.8638384910413518E-4</v>
          </cell>
          <cell r="F41">
            <v>1.8656536944842736E-4</v>
          </cell>
          <cell r="G41">
            <v>1.8739305334020422E-4</v>
          </cell>
          <cell r="H41">
            <v>6.7280864072593617E-4</v>
          </cell>
          <cell r="I41">
            <v>1.1002835922611775E-3</v>
          </cell>
          <cell r="J41">
            <v>8.8013733449748258E-4</v>
          </cell>
        </row>
        <row r="42">
          <cell r="B42" t="str">
            <v>D-RES_LTH</v>
          </cell>
          <cell r="C42" t="str">
            <v>VAR_fout</v>
          </cell>
          <cell r="D42" t="str">
            <v>RHNS_LTH_DH</v>
          </cell>
          <cell r="F42">
            <v>5.4471563390514718E-2</v>
          </cell>
          <cell r="G42">
            <v>4.3975150684924559E-3</v>
          </cell>
          <cell r="H42">
            <v>6.8184062243027898E-3</v>
          </cell>
          <cell r="I42">
            <v>9.6675894782107565E-3</v>
          </cell>
          <cell r="J42">
            <v>1.1376775849212888E-2</v>
          </cell>
        </row>
        <row r="43">
          <cell r="B43" t="str">
            <v>D-RES_LTH</v>
          </cell>
          <cell r="C43" t="str">
            <v>VAR_fout</v>
          </cell>
          <cell r="D43" t="str">
            <v>RHEM_LTH_DH</v>
          </cell>
          <cell r="E43">
            <v>3.4367578926732878</v>
          </cell>
          <cell r="F43">
            <v>3.8270059185278527</v>
          </cell>
          <cell r="G43">
            <v>4.9056511098443973</v>
          </cell>
          <cell r="H43">
            <v>5.3419160793488638</v>
          </cell>
          <cell r="I43">
            <v>5.3562702411108036</v>
          </cell>
          <cell r="J43">
            <v>5.2226595534220008</v>
          </cell>
        </row>
        <row r="44">
          <cell r="B44" t="str">
            <v>D-RES_LTH</v>
          </cell>
          <cell r="C44" t="str">
            <v>VAR_fout</v>
          </cell>
          <cell r="D44" t="str">
            <v>RHES_LTH_DH</v>
          </cell>
          <cell r="E44">
            <v>3.1850679662798727</v>
          </cell>
          <cell r="F44">
            <v>3.5391937450302464</v>
          </cell>
          <cell r="G44">
            <v>1.5877871172095721</v>
          </cell>
          <cell r="H44">
            <v>1.7443418027437194</v>
          </cell>
          <cell r="I44">
            <v>1.7649093432338567</v>
          </cell>
          <cell r="J44">
            <v>1.724214121180766</v>
          </cell>
        </row>
        <row r="45">
          <cell r="B45" t="str">
            <v>D-RES_LTH</v>
          </cell>
          <cell r="C45" t="str">
            <v>VAR_fout</v>
          </cell>
          <cell r="D45" t="str">
            <v>RHSA_LTH</v>
          </cell>
          <cell r="E45">
            <v>1.7181779622654887</v>
          </cell>
          <cell r="F45">
            <v>1.8957573578814753</v>
          </cell>
          <cell r="G45">
            <v>1.742101622048063</v>
          </cell>
          <cell r="H45">
            <v>1.5899293314017471</v>
          </cell>
          <cell r="I45">
            <v>8.2110727786389721E-4</v>
          </cell>
          <cell r="J45">
            <v>7.9641207934049982E-2</v>
          </cell>
        </row>
        <row r="46">
          <cell r="B46" t="str">
            <v>D-RES_LTH</v>
          </cell>
          <cell r="C46" t="str">
            <v>VAR_fout</v>
          </cell>
          <cell r="D46" t="str">
            <v>RHNM_LTH_DH</v>
          </cell>
          <cell r="F46">
            <v>0.35010400548701653</v>
          </cell>
          <cell r="G46">
            <v>6.459926900538622E-2</v>
          </cell>
          <cell r="H46">
            <v>0.1159807247779161</v>
          </cell>
          <cell r="I46">
            <v>0.17224689638048193</v>
          </cell>
          <cell r="J46">
            <v>0.20646229693966187</v>
          </cell>
        </row>
        <row r="47">
          <cell r="B47" t="str">
            <v>D-RES_LTH</v>
          </cell>
          <cell r="C47" t="str">
            <v>VAR_fin</v>
          </cell>
          <cell r="D47" t="str">
            <v>LTH</v>
          </cell>
          <cell r="E47">
            <v>9.2187322731932717</v>
          </cell>
          <cell r="F47">
            <v>10.684954074108786</v>
          </cell>
          <cell r="G47">
            <v>9.1590461389103126</v>
          </cell>
          <cell r="H47">
            <v>9.6685772629464921</v>
          </cell>
          <cell r="I47">
            <v>7.9669564551569572</v>
          </cell>
          <cell r="J47">
            <v>7.8445211777190389</v>
          </cell>
        </row>
        <row r="48">
          <cell r="B48" t="str">
            <v>D-RES_LTH</v>
          </cell>
          <cell r="C48" t="str">
            <v>VAR_ncap</v>
          </cell>
          <cell r="D48" t="str">
            <v>-</v>
          </cell>
          <cell r="E48">
            <v>0.62767223211643297</v>
          </cell>
          <cell r="F48">
            <v>1.7797349751179301E-7</v>
          </cell>
          <cell r="G48">
            <v>2.03823141961004E-8</v>
          </cell>
          <cell r="H48">
            <v>2.3446601214286501E-8</v>
          </cell>
          <cell r="I48">
            <v>4.2188567969707199E-8</v>
          </cell>
          <cell r="J48">
            <v>4.3337326787338602E-8</v>
          </cell>
        </row>
        <row r="49">
          <cell r="B49" t="str">
            <v>D-RES_LTH</v>
          </cell>
          <cell r="C49" t="str">
            <v>VAR_cap</v>
          </cell>
          <cell r="D49" t="str">
            <v>-</v>
          </cell>
          <cell r="E49">
            <v>0.62767223211643297</v>
          </cell>
          <cell r="F49">
            <v>0.62767241008993102</v>
          </cell>
          <cell r="G49">
            <v>0.62767243047224497</v>
          </cell>
          <cell r="H49">
            <v>0.62767245391884596</v>
          </cell>
          <cell r="I49">
            <v>0.62767253068542594</v>
          </cell>
          <cell r="J49">
            <v>0.627672574022753</v>
          </cell>
        </row>
        <row r="50">
          <cell r="B50" t="str">
            <v>RHES-SHSTG-CHPNGA</v>
          </cell>
          <cell r="C50" t="str">
            <v>VAR_fout</v>
          </cell>
          <cell r="D50" t="str">
            <v>RHES_LTH_CHPNGA</v>
          </cell>
          <cell r="E50">
            <v>2.3505156839824268E-3</v>
          </cell>
          <cell r="F50">
            <v>8.3229663202252934E-5</v>
          </cell>
          <cell r="G50">
            <v>1.4370388210503532E-3</v>
          </cell>
          <cell r="H50">
            <v>8.4816076639652571E-4</v>
          </cell>
          <cell r="I50">
            <v>1.3558643571789113E-2</v>
          </cell>
          <cell r="J50">
            <v>8.0405115919419106E-3</v>
          </cell>
        </row>
        <row r="51">
          <cell r="B51" t="str">
            <v>RHES-SHSTG-CHPNGA</v>
          </cell>
          <cell r="C51" t="str">
            <v>VAR_fout</v>
          </cell>
          <cell r="D51" t="str">
            <v>AUX_RES_CHPNGA_OUT</v>
          </cell>
          <cell r="E51">
            <v>2.3505156839824311E-3</v>
          </cell>
          <cell r="F51">
            <v>8.3174213726435611E-5</v>
          </cell>
          <cell r="G51">
            <v>1.4355434632761096E-3</v>
          </cell>
          <cell r="H51">
            <v>8.4816076639652571E-4</v>
          </cell>
          <cell r="I51">
            <v>1.3558643571789155E-2</v>
          </cell>
          <cell r="J51">
            <v>8.0405115919419175E-3</v>
          </cell>
        </row>
        <row r="52">
          <cell r="B52" t="str">
            <v>RHES-SHSTG-CHPNGA</v>
          </cell>
          <cell r="C52" t="str">
            <v>VAR_fin</v>
          </cell>
          <cell r="D52" t="str">
            <v>RHES_LTH_CHPNGA</v>
          </cell>
          <cell r="E52">
            <v>3.1277240101288983E-3</v>
          </cell>
          <cell r="F52">
            <v>1.0953457898023862E-4</v>
          </cell>
          <cell r="G52">
            <v>1.8550463030854391E-3</v>
          </cell>
          <cell r="H52">
            <v>1.060991254166073E-3</v>
          </cell>
          <cell r="I52">
            <v>1.5952324363232684E-2</v>
          </cell>
          <cell r="J52">
            <v>8.9347549195904954E-3</v>
          </cell>
        </row>
        <row r="53">
          <cell r="B53" t="str">
            <v>RHES-SHSTG-CHPNGA</v>
          </cell>
          <cell r="C53" t="str">
            <v>VAR_fin</v>
          </cell>
          <cell r="D53" t="str">
            <v>AUX_RES_CHPNGA_IN</v>
          </cell>
          <cell r="E53">
            <v>3.1277240101288983E-3</v>
          </cell>
          <cell r="F53">
            <v>1.0953457898023862E-4</v>
          </cell>
          <cell r="G53">
            <v>1.8550463030854391E-3</v>
          </cell>
          <cell r="H53">
            <v>1.060991254166073E-3</v>
          </cell>
          <cell r="I53">
            <v>1.5952324363232684E-2</v>
          </cell>
          <cell r="J53">
            <v>8.9347549195904954E-3</v>
          </cell>
        </row>
        <row r="54">
          <cell r="B54" t="str">
            <v>RHES-SHSTG-CHPNGA</v>
          </cell>
          <cell r="C54" t="str">
            <v>VAR_ncap</v>
          </cell>
          <cell r="D54" t="str">
            <v>-</v>
          </cell>
          <cell r="E54">
            <v>9.5239402733534001E-4</v>
          </cell>
          <cell r="F54">
            <v>1.4785999591963799E-5</v>
          </cell>
          <cell r="G54">
            <v>1.35105035738781E-5</v>
          </cell>
          <cell r="H54">
            <v>8.2409918419686405E-6</v>
          </cell>
          <cell r="I54">
            <v>8.7333925665169894E-5</v>
          </cell>
          <cell r="J54">
            <v>1.00611837356743E-4</v>
          </cell>
        </row>
        <row r="55">
          <cell r="B55" t="str">
            <v>RHES-SHSTG-CHPNGA</v>
          </cell>
          <cell r="C55" t="str">
            <v>VAR_cap</v>
          </cell>
          <cell r="D55" t="str">
            <v>-</v>
          </cell>
          <cell r="E55">
            <v>9.5239402733534001E-4</v>
          </cell>
          <cell r="F55">
            <v>9.6543275259089662E-4</v>
          </cell>
          <cell r="G55">
            <v>9.7347463031521105E-4</v>
          </cell>
          <cell r="H55">
            <v>9.6674856481246039E-4</v>
          </cell>
          <cell r="I55">
            <v>9.758359645277864E-4</v>
          </cell>
          <cell r="J55">
            <v>5.3424813555040995E-4</v>
          </cell>
        </row>
        <row r="56">
          <cell r="B56" t="str">
            <v>RHNS-CHPWOD</v>
          </cell>
          <cell r="C56" t="str">
            <v>VAR_fout</v>
          </cell>
          <cell r="D56" t="str">
            <v>RHNS_LTH_CHPWOD</v>
          </cell>
          <cell r="H56">
            <v>7.8901122004321536E-4</v>
          </cell>
          <cell r="I56">
            <v>8.1012661092098295E-4</v>
          </cell>
          <cell r="J56">
            <v>4.5221802503436157E-4</v>
          </cell>
        </row>
        <row r="57">
          <cell r="B57" t="str">
            <v>RHNS-CHPWOD</v>
          </cell>
          <cell r="C57" t="str">
            <v>VAR_fout</v>
          </cell>
          <cell r="D57" t="str">
            <v>RHNS_KEV_WOD_ELC_CHP</v>
          </cell>
          <cell r="H57">
            <v>2.9227316074734687E-4</v>
          </cell>
          <cell r="I57">
            <v>3.1303005408705472E-4</v>
          </cell>
          <cell r="J57">
            <v>1.8195591660997615E-4</v>
          </cell>
        </row>
        <row r="58">
          <cell r="B58" t="str">
            <v>RHNS-CHPWOD</v>
          </cell>
          <cell r="C58" t="str">
            <v>VAR_fin</v>
          </cell>
          <cell r="D58" t="str">
            <v>RWOD</v>
          </cell>
          <cell r="H58">
            <v>1.5140402513862791E-3</v>
          </cell>
          <cell r="I58">
            <v>1.4730022435264763E-3</v>
          </cell>
          <cell r="J58">
            <v>8.1393735437108406E-4</v>
          </cell>
        </row>
        <row r="59">
          <cell r="B59" t="str">
            <v>RHNS-CHPWOD</v>
          </cell>
          <cell r="C59" t="str">
            <v>VAR_ncap</v>
          </cell>
          <cell r="D59" t="str">
            <v>-</v>
          </cell>
          <cell r="H59">
            <v>2.6015983701446899E-5</v>
          </cell>
          <cell r="I59">
            <v>8.5068582951886205E-6</v>
          </cell>
          <cell r="J59">
            <v>9.3736860013372496E-6</v>
          </cell>
        </row>
        <row r="60">
          <cell r="B60" t="str">
            <v>RHNS-CHPWOD</v>
          </cell>
          <cell r="C60" t="str">
            <v>VAR_cap</v>
          </cell>
          <cell r="D60" t="str">
            <v>-</v>
          </cell>
          <cell r="H60">
            <v>2.6015983701446899E-5</v>
          </cell>
          <cell r="I60">
            <v>2.7961144211059302E-5</v>
          </cell>
          <cell r="J60">
            <v>1.6252147867940121E-5</v>
          </cell>
        </row>
        <row r="61">
          <cell r="B61" t="str">
            <v>D-ICOA</v>
          </cell>
          <cell r="C61" t="str">
            <v>VAR_fout</v>
          </cell>
          <cell r="D61" t="str">
            <v>ICOA</v>
          </cell>
          <cell r="E61">
            <v>3.560001170516788</v>
          </cell>
          <cell r="F61">
            <v>3.4647165621005938</v>
          </cell>
          <cell r="G61">
            <v>3.2255900287305095</v>
          </cell>
          <cell r="H61">
            <v>7.6323335700341402E-4</v>
          </cell>
          <cell r="I61">
            <v>3.336828852408488E-4</v>
          </cell>
          <cell r="J61">
            <v>9.5725429957025708E-5</v>
          </cell>
        </row>
        <row r="62">
          <cell r="B62" t="str">
            <v>D-ICOA</v>
          </cell>
          <cell r="C62" t="str">
            <v>VAR_fout</v>
          </cell>
          <cell r="D62" t="str">
            <v>CO2</v>
          </cell>
          <cell r="E62">
            <v>330.012108506907</v>
          </cell>
          <cell r="F62">
            <v>321.17922530672502</v>
          </cell>
          <cell r="G62">
            <v>299.01219566331798</v>
          </cell>
          <cell r="H62">
            <v>7.0751732194216502E-2</v>
          </cell>
          <cell r="I62">
            <v>3.0932403461826699E-2</v>
          </cell>
          <cell r="J62">
            <v>8.8737473570162893E-3</v>
          </cell>
        </row>
        <row r="63">
          <cell r="B63" t="str">
            <v>D-ICOA</v>
          </cell>
          <cell r="C63" t="str">
            <v>VAR_fin</v>
          </cell>
          <cell r="D63" t="str">
            <v>COA</v>
          </cell>
          <cell r="E63">
            <v>3.560001170516788</v>
          </cell>
          <cell r="F63">
            <v>3.4647165621005938</v>
          </cell>
          <cell r="G63">
            <v>3.2255900287305095</v>
          </cell>
          <cell r="H63">
            <v>7.6323335700341402E-4</v>
          </cell>
          <cell r="I63">
            <v>3.336828852408488E-4</v>
          </cell>
          <cell r="J63">
            <v>9.5725429957025708E-5</v>
          </cell>
        </row>
        <row r="64">
          <cell r="B64" t="str">
            <v>RHNM-SHSTG-CHPWOD</v>
          </cell>
          <cell r="C64" t="str">
            <v>VAR_fout</v>
          </cell>
          <cell r="D64" t="str">
            <v>RHNM_LTH_CHPWOD</v>
          </cell>
          <cell r="E64">
            <v>5.3848735063228083E-5</v>
          </cell>
          <cell r="F64">
            <v>5.7006769234172368E-5</v>
          </cell>
          <cell r="G64">
            <v>3.0535058209196271E-5</v>
          </cell>
          <cell r="H64">
            <v>5.9062371463601505E-4</v>
          </cell>
          <cell r="I64">
            <v>2.8274960566204779E-3</v>
          </cell>
          <cell r="J64">
            <v>2.7391003509305675E-3</v>
          </cell>
        </row>
        <row r="65">
          <cell r="B65" t="str">
            <v>RHNM-SHSTG-CHPWOD</v>
          </cell>
          <cell r="C65" t="str">
            <v>VAR_fout</v>
          </cell>
          <cell r="D65" t="str">
            <v>AUX_RNM-CHPWOD_OUT</v>
          </cell>
          <cell r="E65">
            <v>5.3848735063228185E-5</v>
          </cell>
          <cell r="F65">
            <v>5.6968790040811926E-5</v>
          </cell>
          <cell r="G65">
            <v>3.0503283955076438E-5</v>
          </cell>
          <cell r="H65">
            <v>5.9062371463601505E-4</v>
          </cell>
          <cell r="I65">
            <v>2.8274960566204883E-3</v>
          </cell>
          <cell r="J65">
            <v>2.7391003509305714E-3</v>
          </cell>
        </row>
        <row r="66">
          <cell r="B66" t="str">
            <v>RHNM-SHSTG-CHPWOD</v>
          </cell>
          <cell r="C66" t="str">
            <v>VAR_fin</v>
          </cell>
          <cell r="D66" t="str">
            <v>RHNM_LTH_CHPWOD</v>
          </cell>
          <cell r="E66">
            <v>4.2412771469662052E-5</v>
          </cell>
          <cell r="F66">
            <v>4.3798851438324667E-5</v>
          </cell>
          <cell r="G66">
            <v>2.4407749118230449E-5</v>
          </cell>
          <cell r="H66">
            <v>7.3906884324542884E-4</v>
          </cell>
          <cell r="I66">
            <v>3.3274372964805059E-3</v>
          </cell>
          <cell r="J66">
            <v>3.0443372756898172E-3</v>
          </cell>
        </row>
        <row r="67">
          <cell r="B67" t="str">
            <v>RHNM-SHSTG-CHPWOD</v>
          </cell>
          <cell r="C67" t="str">
            <v>VAR_fin</v>
          </cell>
          <cell r="D67" t="str">
            <v>AUX_RNM-CHPWOD_IN</v>
          </cell>
          <cell r="E67">
            <v>4.2412771469662052E-5</v>
          </cell>
          <cell r="F67">
            <v>4.3798851438324667E-5</v>
          </cell>
          <cell r="G67">
            <v>2.4407749118230449E-5</v>
          </cell>
          <cell r="H67">
            <v>7.3906884324542884E-4</v>
          </cell>
          <cell r="I67">
            <v>3.3274372964805059E-3</v>
          </cell>
          <cell r="J67">
            <v>3.0443372756898172E-3</v>
          </cell>
        </row>
        <row r="68">
          <cell r="B68" t="str">
            <v>RHNM-SHSTG-CHPWOD</v>
          </cell>
          <cell r="C68" t="str">
            <v>VAR_ncap</v>
          </cell>
          <cell r="D68" t="str">
            <v>-</v>
          </cell>
          <cell r="E68">
            <v>9.4744659785183402E-4</v>
          </cell>
          <cell r="F68">
            <v>2.2946087830716601E-5</v>
          </cell>
          <cell r="G68">
            <v>3.54010040592664E-5</v>
          </cell>
          <cell r="H68">
            <v>2.8450027359869199E-5</v>
          </cell>
          <cell r="I68">
            <v>8.23424680088E-5</v>
          </cell>
          <cell r="J68">
            <v>1.7196307859210699E-4</v>
          </cell>
        </row>
        <row r="69">
          <cell r="B69" t="str">
            <v>RHNM-SHSTG-CHPWOD</v>
          </cell>
          <cell r="C69" t="str">
            <v>VAR_cap</v>
          </cell>
          <cell r="D69" t="str">
            <v>-</v>
          </cell>
          <cell r="E69">
            <v>9.4744659785183402E-4</v>
          </cell>
          <cell r="F69">
            <v>9.6752554507805876E-4</v>
          </cell>
          <cell r="G69">
            <v>9.9560119396258193E-4</v>
          </cell>
          <cell r="H69">
            <v>1.0125022446715462E-3</v>
          </cell>
          <cell r="I69">
            <v>1.315753082805416E-3</v>
          </cell>
          <cell r="J69">
            <v>7.4088564389185958E-4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I70">
            <v>5.0807845730240497E-3</v>
          </cell>
          <cell r="J70">
            <v>2.0384743467246401E-3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I71">
            <v>9.0084832855036307E-5</v>
          </cell>
          <cell r="J71">
            <v>3.614316217596877E-5</v>
          </cell>
        </row>
        <row r="72">
          <cell r="B72" t="str">
            <v>RHNS-CHPGFC</v>
          </cell>
          <cell r="C72" t="str">
            <v>VAR_fout</v>
          </cell>
          <cell r="D72" t="str">
            <v>CO2_R</v>
          </cell>
          <cell r="H72">
            <v>7.1201837321748802E-3</v>
          </cell>
          <cell r="I72">
            <v>2.2939487547860401E-2</v>
          </cell>
          <cell r="J72">
            <v>1.79715416927883E-2</v>
          </cell>
        </row>
        <row r="73">
          <cell r="B73" t="str">
            <v>RHNS-CHPGFC</v>
          </cell>
          <cell r="C73" t="str">
            <v>VAR_fout</v>
          </cell>
          <cell r="D73" t="str">
            <v>RHNS_LTH_CHPNGA</v>
          </cell>
          <cell r="H73">
            <v>5.9385362191756501E-5</v>
          </cell>
          <cell r="I73">
            <v>1.8969817362273178E-4</v>
          </cell>
          <cell r="J73">
            <v>1.4338996031480013E-4</v>
          </cell>
        </row>
        <row r="74">
          <cell r="B74" t="str">
            <v>RHNS-CHPGFC</v>
          </cell>
          <cell r="C74" t="str">
            <v>VAR_fout</v>
          </cell>
          <cell r="D74" t="str">
            <v>RHNS_NKEV_GAS_ELC_CHP</v>
          </cell>
          <cell r="H74">
            <v>5.3022644814068312E-5</v>
          </cell>
          <cell r="I74">
            <v>1.7896054115352058E-4</v>
          </cell>
          <cell r="J74">
            <v>1.4338996031480013E-4</v>
          </cell>
        </row>
        <row r="75">
          <cell r="B75" t="str">
            <v>RHNS-CHPGFC</v>
          </cell>
          <cell r="C75" t="str">
            <v>VAR_fin</v>
          </cell>
          <cell r="D75" t="str">
            <v>RNGA</v>
          </cell>
          <cell r="H75">
            <v>1.2624439241444839E-4</v>
          </cell>
          <cell r="I75">
            <v>4.0672850262163802E-4</v>
          </cell>
          <cell r="J75">
            <v>3.1864435625511187E-4</v>
          </cell>
        </row>
        <row r="76">
          <cell r="B76" t="str">
            <v>RHNS-CHPGFC</v>
          </cell>
          <cell r="C76" t="str">
            <v>VAR_ncap</v>
          </cell>
          <cell r="D76" t="str">
            <v>-</v>
          </cell>
          <cell r="H76">
            <v>4.6765545014560301E-6</v>
          </cell>
          <cell r="I76">
            <v>5.6517436235029404E-7</v>
          </cell>
          <cell r="J76">
            <v>2.51725995320878E-6</v>
          </cell>
        </row>
        <row r="77">
          <cell r="B77" t="str">
            <v>RHNS-CHPGFC</v>
          </cell>
          <cell r="C77" t="str">
            <v>VAR_cap</v>
          </cell>
          <cell r="D77" t="str">
            <v>-</v>
          </cell>
          <cell r="H77">
            <v>4.6765545014560301E-6</v>
          </cell>
          <cell r="I77">
            <v>1.56086554448391E-5</v>
          </cell>
          <cell r="J77">
            <v>1.2537214716327563E-5</v>
          </cell>
        </row>
        <row r="78">
          <cell r="B78" t="str">
            <v>D-ENGA</v>
          </cell>
          <cell r="C78" t="str">
            <v>VAR_fout</v>
          </cell>
          <cell r="D78" t="str">
            <v>CO2</v>
          </cell>
          <cell r="E78">
            <v>310.79231517410199</v>
          </cell>
          <cell r="F78">
            <v>84.418358839849901</v>
          </cell>
          <cell r="G78">
            <v>0.97474773168043505</v>
          </cell>
          <cell r="H78">
            <v>38.224070032370498</v>
          </cell>
          <cell r="I78">
            <v>10.0452855190759</v>
          </cell>
          <cell r="J78">
            <v>0.22736515110835301</v>
          </cell>
        </row>
        <row r="79">
          <cell r="B79" t="str">
            <v>D-ENGA</v>
          </cell>
          <cell r="C79" t="str">
            <v>VAR_fout</v>
          </cell>
          <cell r="D79" t="str">
            <v>ENGA</v>
          </cell>
          <cell r="E79">
            <v>5.6995501997699991</v>
          </cell>
          <cell r="F79">
            <v>1.4920446177113822</v>
          </cell>
          <cell r="G79">
            <v>1.9012243642061215E-2</v>
          </cell>
          <cell r="H79">
            <v>0.68674095384447031</v>
          </cell>
          <cell r="I79">
            <v>0.1954324033759415</v>
          </cell>
          <cell r="J79">
            <v>2.3332802158413431E-2</v>
          </cell>
        </row>
        <row r="80">
          <cell r="B80" t="str">
            <v>D-ENGA</v>
          </cell>
          <cell r="C80" t="str">
            <v>VAR_fin</v>
          </cell>
          <cell r="D80" t="str">
            <v>NGA</v>
          </cell>
          <cell r="E80">
            <v>5.5105020420940107</v>
          </cell>
          <cell r="F80">
            <v>1.4967794120540756</v>
          </cell>
          <cell r="G80">
            <v>1.7282761200007709E-2</v>
          </cell>
          <cell r="H80">
            <v>0.67773173816259802</v>
          </cell>
          <cell r="I80">
            <v>0.17810789927439566</v>
          </cell>
          <cell r="J80">
            <v>4.0312970054672591E-3</v>
          </cell>
        </row>
        <row r="81">
          <cell r="B81" t="str">
            <v>D-ENGA</v>
          </cell>
          <cell r="C81" t="str">
            <v>VAR_fin</v>
          </cell>
          <cell r="D81" t="str">
            <v>BNGA</v>
          </cell>
          <cell r="E81">
            <v>0.20725605238731962</v>
          </cell>
          <cell r="F81">
            <v>3.1720619310368553E-5</v>
          </cell>
          <cell r="G81">
            <v>1.7802360737962861E-3</v>
          </cell>
          <cell r="H81">
            <v>2.0064414375344252E-3</v>
          </cell>
          <cell r="I81">
            <v>1.7434201626045313E-2</v>
          </cell>
          <cell r="J81">
            <v>1.8830895094428989E-2</v>
          </cell>
        </row>
        <row r="82">
          <cell r="B82" t="str">
            <v>D-ENGA</v>
          </cell>
          <cell r="C82" t="str">
            <v>VAR_fin</v>
          </cell>
          <cell r="D82" t="str">
            <v>H2</v>
          </cell>
          <cell r="G82">
            <v>6.4536955821144604E-6</v>
          </cell>
          <cell r="H82">
            <v>9.2006320084598824E-3</v>
          </cell>
          <cell r="I82">
            <v>5.1833550373383912E-4</v>
          </cell>
          <cell r="J82">
            <v>5.5183003250897685E-4</v>
          </cell>
        </row>
        <row r="83">
          <cell r="B83" t="str">
            <v>D-ENGA</v>
          </cell>
          <cell r="C83" t="str">
            <v>VAR_ncap</v>
          </cell>
          <cell r="D83" t="str">
            <v>-</v>
          </cell>
          <cell r="E83">
            <v>2.2872020968069001E-7</v>
          </cell>
          <cell r="F83">
            <v>1.19774361840766E-7</v>
          </cell>
          <cell r="G83">
            <v>1.7864428662409901E-7</v>
          </cell>
          <cell r="H83">
            <v>2.1203601468944099E-7</v>
          </cell>
          <cell r="I83">
            <v>4.9168817129312503E-7</v>
          </cell>
          <cell r="J83">
            <v>6.8657303953106102E-7</v>
          </cell>
        </row>
        <row r="84">
          <cell r="B84" t="str">
            <v>D-ENGA</v>
          </cell>
          <cell r="C84" t="str">
            <v>VAR_cap</v>
          </cell>
          <cell r="D84" t="str">
            <v>-</v>
          </cell>
          <cell r="E84">
            <v>1.0275122232611897</v>
          </cell>
          <cell r="F84">
            <v>1.0275123430355515</v>
          </cell>
          <cell r="G84">
            <v>1.0275125216798382</v>
          </cell>
          <cell r="H84">
            <v>1.0275127337158529</v>
          </cell>
          <cell r="I84">
            <v>1.0275135464507528</v>
          </cell>
          <cell r="J84">
            <v>0.72467891979757226</v>
          </cell>
        </row>
        <row r="85">
          <cell r="B85" t="str">
            <v>D-ILFO</v>
          </cell>
          <cell r="C85" t="str">
            <v>VAR_fout</v>
          </cell>
          <cell r="D85" t="str">
            <v>CO2</v>
          </cell>
          <cell r="E85">
            <v>688.83966310621599</v>
          </cell>
          <cell r="F85">
            <v>651.14210038778594</v>
          </cell>
          <cell r="G85">
            <v>615.94043171897795</v>
          </cell>
          <cell r="H85">
            <v>536.08612624866896</v>
          </cell>
          <cell r="I85">
            <v>228.26199883879201</v>
          </cell>
          <cell r="J85">
            <v>4.1372729307139399E-3</v>
          </cell>
        </row>
        <row r="86">
          <cell r="B86" t="str">
            <v>D-ILFO</v>
          </cell>
          <cell r="C86" t="str">
            <v>VAR_fout</v>
          </cell>
          <cell r="D86" t="str">
            <v>ILFO</v>
          </cell>
          <cell r="E86">
            <v>9.1904374214621267</v>
          </cell>
          <cell r="F86">
            <v>8.6874798978737218</v>
          </cell>
          <cell r="G86">
            <v>8.2178968542254989</v>
          </cell>
          <cell r="H86">
            <v>7.1524881253745889</v>
          </cell>
          <cell r="I86">
            <v>3.4351916203274815</v>
          </cell>
          <cell r="J86">
            <v>0.38981635006274257</v>
          </cell>
        </row>
        <row r="87">
          <cell r="B87" t="str">
            <v>D-ILFO</v>
          </cell>
          <cell r="C87" t="str">
            <v>VAR_fin</v>
          </cell>
          <cell r="D87" t="str">
            <v>LFO</v>
          </cell>
          <cell r="E87">
            <v>9.3465354559866434</v>
          </cell>
          <cell r="F87">
            <v>8.8350352834163584</v>
          </cell>
          <cell r="G87">
            <v>8.3574007017500449</v>
          </cell>
          <cell r="H87">
            <v>7.2738958785436711</v>
          </cell>
          <cell r="I87">
            <v>3.0971777318696305</v>
          </cell>
          <cell r="J87">
            <v>5.6136674772238003E-5</v>
          </cell>
        </row>
        <row r="88">
          <cell r="B88" t="str">
            <v>D-ILFO</v>
          </cell>
          <cell r="C88" t="str">
            <v>VAR_fin</v>
          </cell>
          <cell r="D88" t="str">
            <v>BDS</v>
          </cell>
          <cell r="G88">
            <v>7.5748967145162872E-5</v>
          </cell>
          <cell r="H88">
            <v>7.7699993835020345E-5</v>
          </cell>
          <cell r="I88">
            <v>0.39636134896996539</v>
          </cell>
          <cell r="J88">
            <v>0.3963819583533586</v>
          </cell>
        </row>
        <row r="89">
          <cell r="B89" t="str">
            <v>HPLNGA</v>
          </cell>
          <cell r="C89" t="str">
            <v>VAR_fout</v>
          </cell>
          <cell r="D89" t="str">
            <v>LTH</v>
          </cell>
          <cell r="E89">
            <v>1.732899571811966</v>
          </cell>
          <cell r="F89">
            <v>1.2715893639947291</v>
          </cell>
          <cell r="G89">
            <v>8.0534004155507488E-3</v>
          </cell>
          <cell r="H89">
            <v>0.57478816175284664</v>
          </cell>
          <cell r="I89">
            <v>3.7406765365158198E-4</v>
          </cell>
          <cell r="J89">
            <v>6.7980409057500176E-5</v>
          </cell>
        </row>
        <row r="90">
          <cell r="B90" t="str">
            <v>HPLNGA</v>
          </cell>
          <cell r="C90" t="str">
            <v>VAR_fout</v>
          </cell>
          <cell r="D90" t="str">
            <v>CO2_E</v>
          </cell>
          <cell r="E90">
            <v>114.383477865122</v>
          </cell>
          <cell r="F90">
            <v>83.9337814123474</v>
          </cell>
          <cell r="G90">
            <v>0.53158068889584198</v>
          </cell>
          <cell r="H90">
            <v>37.940034175347499</v>
          </cell>
          <cell r="I90">
            <v>2.4691078396871201E-2</v>
          </cell>
          <cell r="J90">
            <v>4.4871819124289404E-3</v>
          </cell>
        </row>
        <row r="91">
          <cell r="B91" t="str">
            <v>HPLNGA</v>
          </cell>
          <cell r="C91" t="str">
            <v>VAR_fin</v>
          </cell>
          <cell r="D91" t="str">
            <v>ENGA</v>
          </cell>
          <cell r="E91">
            <v>2.0280758486723762</v>
          </cell>
          <cell r="F91">
            <v>1.4881876136941019</v>
          </cell>
          <cell r="G91">
            <v>9.425189519429826E-3</v>
          </cell>
          <cell r="H91">
            <v>0.67269564140686966</v>
          </cell>
          <cell r="I91">
            <v>4.3778507795871039E-4</v>
          </cell>
          <cell r="J91">
            <v>7.9559962986328796E-5</v>
          </cell>
        </row>
        <row r="92">
          <cell r="B92" t="str">
            <v>HPLNGA</v>
          </cell>
          <cell r="C92" t="str">
            <v>VAR_ncap</v>
          </cell>
          <cell r="D92" t="str">
            <v>-</v>
          </cell>
          <cell r="E92">
            <v>3.1422003511625099E-6</v>
          </cell>
          <cell r="F92">
            <v>2.91724936976047E-6</v>
          </cell>
          <cell r="G92">
            <v>3.02535203927856E-6</v>
          </cell>
          <cell r="H92">
            <v>1.2433096191688799E-5</v>
          </cell>
          <cell r="I92">
            <v>6.7825308190475397E-6</v>
          </cell>
          <cell r="J92">
            <v>2.86799527118916E-6</v>
          </cell>
        </row>
        <row r="93">
          <cell r="B93" t="str">
            <v>HPLNGA</v>
          </cell>
          <cell r="C93" t="str">
            <v>VAR_cap</v>
          </cell>
          <cell r="D93" t="str">
            <v>-</v>
          </cell>
          <cell r="E93">
            <v>0.21987750360416514</v>
          </cell>
          <cell r="F93">
            <v>0.16208633948401685</v>
          </cell>
          <cell r="G93">
            <v>0.16206520668305824</v>
          </cell>
          <cell r="H93">
            <v>7.2908535096956911E-2</v>
          </cell>
          <cell r="I93">
            <v>2.053580742795725E-4</v>
          </cell>
          <cell r="J93">
            <v>1.5791153036749461E-4</v>
          </cell>
        </row>
        <row r="94">
          <cell r="B94" t="str">
            <v>G-INTC-IMP00-AT</v>
          </cell>
          <cell r="C94" t="str">
            <v>VAR_fout</v>
          </cell>
          <cell r="D94" t="str">
            <v>ELC</v>
          </cell>
          <cell r="E94">
            <v>15.013805600359564</v>
          </cell>
          <cell r="F94">
            <v>0.20059819732123396</v>
          </cell>
          <cell r="G94">
            <v>0.10319990144630869</v>
          </cell>
          <cell r="H94">
            <v>0.12983956461177762</v>
          </cell>
          <cell r="I94">
            <v>5.3046430088950616E-2</v>
          </cell>
          <cell r="J94">
            <v>8.8338192960751877E-2</v>
          </cell>
        </row>
        <row r="95">
          <cell r="B95" t="str">
            <v>G-INTC-IMP00-AT</v>
          </cell>
          <cell r="C95" t="str">
            <v>VAR_fin</v>
          </cell>
          <cell r="D95" t="str">
            <v>ELC_I-AT</v>
          </cell>
          <cell r="E95">
            <v>15.013805600359564</v>
          </cell>
          <cell r="F95">
            <v>0.20059819732123396</v>
          </cell>
          <cell r="G95">
            <v>0.10319990144630869</v>
          </cell>
          <cell r="H95">
            <v>0.12983956461177762</v>
          </cell>
          <cell r="I95">
            <v>5.3046430088950616E-2</v>
          </cell>
          <cell r="J95">
            <v>8.8338192960751877E-2</v>
          </cell>
        </row>
        <row r="96">
          <cell r="B96" t="str">
            <v>G-INTC-IMP00-AT</v>
          </cell>
          <cell r="C96" t="str">
            <v>VAR_ncap</v>
          </cell>
          <cell r="D96" t="str">
            <v>-</v>
          </cell>
          <cell r="E96">
            <v>4.8829400772012699E-7</v>
          </cell>
          <cell r="F96">
            <v>4.28602169526111E-7</v>
          </cell>
          <cell r="G96">
            <v>5.3412525521490795E-7</v>
          </cell>
          <cell r="H96">
            <v>5.2256210782432501E-7</v>
          </cell>
          <cell r="I96">
            <v>2.4629189099563201E-6</v>
          </cell>
          <cell r="J96">
            <v>3.8858294157380001E-6</v>
          </cell>
        </row>
        <row r="97">
          <cell r="B97" t="str">
            <v>G-INTC-IMP00-AT</v>
          </cell>
          <cell r="C97" t="str">
            <v>VAR_cap</v>
          </cell>
          <cell r="D97" t="str">
            <v>-</v>
          </cell>
          <cell r="E97">
            <v>0.551559038986145</v>
          </cell>
          <cell r="F97">
            <v>1.8283150031439988E-2</v>
          </cell>
          <cell r="G97">
            <v>1.8281300396809863E-2</v>
          </cell>
          <cell r="H97">
            <v>1.8280939600123336E-2</v>
          </cell>
          <cell r="I97">
            <v>1.8280748493290311E-2</v>
          </cell>
          <cell r="J97">
            <v>1.8284177249187072E-2</v>
          </cell>
        </row>
        <row r="98">
          <cell r="B98" t="str">
            <v>CHPWST</v>
          </cell>
          <cell r="C98" t="str">
            <v>VAR_fout</v>
          </cell>
          <cell r="D98" t="str">
            <v>ELC35</v>
          </cell>
          <cell r="E98">
            <v>1.4050516207399402</v>
          </cell>
          <cell r="F98">
            <v>1.2995353481427665</v>
          </cell>
          <cell r="G98">
            <v>1.31893993279004</v>
          </cell>
          <cell r="H98">
            <v>1.2901763607982595</v>
          </cell>
          <cell r="I98">
            <v>1.2826617754254197</v>
          </cell>
          <cell r="J98">
            <v>1.2865771072479368</v>
          </cell>
        </row>
        <row r="99">
          <cell r="B99" t="str">
            <v>CHPWST</v>
          </cell>
          <cell r="C99" t="str">
            <v>VAR_fout</v>
          </cell>
          <cell r="D99" t="str">
            <v>LTH</v>
          </cell>
          <cell r="E99">
            <v>14.159848199000601</v>
          </cell>
          <cell r="F99">
            <v>13.051647574241953</v>
          </cell>
          <cell r="G99">
            <v>13.178289001079193</v>
          </cell>
          <cell r="H99">
            <v>12.779634399579903</v>
          </cell>
          <cell r="I99">
            <v>12.034791606630549</v>
          </cell>
          <cell r="J99">
            <v>11.399073170216717</v>
          </cell>
        </row>
        <row r="100">
          <cell r="B100" t="str">
            <v>CHPWST</v>
          </cell>
          <cell r="C100" t="str">
            <v>VAR_fout</v>
          </cell>
          <cell r="D100" t="str">
            <v>CO2_E</v>
          </cell>
          <cell r="E100">
            <v>2783.99438397923</v>
          </cell>
          <cell r="F100">
            <v>2574.922556302</v>
          </cell>
          <cell r="G100">
            <v>2613.3711470043099</v>
          </cell>
          <cell r="H100">
            <v>2556.3784915699698</v>
          </cell>
          <cell r="I100">
            <v>2541.4889578566799</v>
          </cell>
          <cell r="J100">
            <v>2549.2468662811202</v>
          </cell>
        </row>
        <row r="101">
          <cell r="B101" t="str">
            <v>CHPWST</v>
          </cell>
          <cell r="C101" t="str">
            <v>VAR_fin</v>
          </cell>
          <cell r="D101" t="str">
            <v>EWST</v>
          </cell>
          <cell r="E101">
            <v>29.999939482534742</v>
          </cell>
          <cell r="F101">
            <v>27.747010304978431</v>
          </cell>
          <cell r="G101">
            <v>28.161327015132695</v>
          </cell>
          <cell r="H101">
            <v>27.547182021228139</v>
          </cell>
          <cell r="I101">
            <v>27.38673445966251</v>
          </cell>
          <cell r="J101">
            <v>27.470332610787885</v>
          </cell>
        </row>
        <row r="102">
          <cell r="B102" t="str">
            <v>CHPWST</v>
          </cell>
          <cell r="C102" t="str">
            <v>VAR_ncap</v>
          </cell>
          <cell r="D102" t="str">
            <v>-</v>
          </cell>
          <cell r="F102">
            <v>7.2016911962754996E-8</v>
          </cell>
          <cell r="G102">
            <v>1.10394901608292E-7</v>
          </cell>
          <cell r="H102">
            <v>1.1899312206876199E-7</v>
          </cell>
          <cell r="I102">
            <v>1.96087212688726E-2</v>
          </cell>
          <cell r="J102">
            <v>2.8457403100985899E-2</v>
          </cell>
        </row>
        <row r="103">
          <cell r="B103" t="str">
            <v>CHPWST</v>
          </cell>
          <cell r="C103" t="str">
            <v>VAR_cap</v>
          </cell>
          <cell r="D103" t="str">
            <v>-</v>
          </cell>
          <cell r="E103">
            <v>7.6766282780275336E-2</v>
          </cell>
          <cell r="F103">
            <v>7.2061294144006222E-2</v>
          </cell>
          <cell r="G103">
            <v>7.2061166937911675E-2</v>
          </cell>
          <cell r="H103">
            <v>7.0489711430718888E-2</v>
          </cell>
          <cell r="I103">
            <v>7.0079136137340223E-2</v>
          </cell>
          <cell r="J103">
            <v>7.0293025598927195E-2</v>
          </cell>
        </row>
        <row r="104">
          <cell r="B104" t="str">
            <v>RHES-CHPNGA</v>
          </cell>
          <cell r="C104" t="str">
            <v>VAR_fout</v>
          </cell>
          <cell r="D104" t="str">
            <v>CO2_R</v>
          </cell>
          <cell r="E104">
            <v>3.1545899289650698</v>
          </cell>
          <cell r="F104">
            <v>0.38415595081825799</v>
          </cell>
          <cell r="G104">
            <v>0.466994688409266</v>
          </cell>
          <cell r="H104">
            <v>1.26088668301788</v>
          </cell>
          <cell r="I104">
            <v>0.40712653548873301</v>
          </cell>
          <cell r="J104">
            <v>0.13814152828868601</v>
          </cell>
        </row>
        <row r="105">
          <cell r="B105" t="str">
            <v>RHES-CHPNGA</v>
          </cell>
          <cell r="C105" t="str">
            <v>VAR_fout</v>
          </cell>
          <cell r="D105" t="str">
            <v>RHES_NKEV_GAS_ELC_CHP</v>
          </cell>
          <cell r="E105">
            <v>1.332653381332238E-2</v>
          </cell>
          <cell r="F105">
            <v>1.8403984451643134E-3</v>
          </cell>
          <cell r="G105">
            <v>1.9258657285323221E-3</v>
          </cell>
          <cell r="H105">
            <v>6.0826412422801488E-3</v>
          </cell>
          <cell r="I105">
            <v>1.7768095845231973E-3</v>
          </cell>
          <cell r="J105">
            <v>6.0721547007001799E-4</v>
          </cell>
        </row>
        <row r="106">
          <cell r="B106" t="str">
            <v>RHES-CHPNGA</v>
          </cell>
          <cell r="C106" t="str">
            <v>VAR_fout</v>
          </cell>
          <cell r="D106" t="str">
            <v>RHES_LTH_CHPNGA</v>
          </cell>
          <cell r="E106">
            <v>3.2082396217257635E-2</v>
          </cell>
          <cell r="F106">
            <v>4.3857960830794079E-3</v>
          </cell>
          <cell r="G106">
            <v>4.5191611143073334E-3</v>
          </cell>
          <cell r="H106">
            <v>1.3903179982354637E-2</v>
          </cell>
          <cell r="I106">
            <v>3.9900285406836754E-3</v>
          </cell>
          <cell r="J106">
            <v>1.319123262565903E-3</v>
          </cell>
        </row>
        <row r="107">
          <cell r="B107" t="str">
            <v>RHES-CHPNGA</v>
          </cell>
          <cell r="C107" t="str">
            <v>VAR_fin</v>
          </cell>
          <cell r="D107" t="str">
            <v>RNGA</v>
          </cell>
          <cell r="E107">
            <v>5.59324455490261E-2</v>
          </cell>
          <cell r="F107">
            <v>6.8112757237279884E-3</v>
          </cell>
          <cell r="G107">
            <v>8.2800476668309607E-3</v>
          </cell>
          <cell r="H107">
            <v>2.2356146862019147E-2</v>
          </cell>
          <cell r="I107">
            <v>7.2185555937718682E-3</v>
          </cell>
          <cell r="J107">
            <v>2.4493178774589778E-3</v>
          </cell>
        </row>
        <row r="108">
          <cell r="B108" t="str">
            <v>RHES-CHPNGA</v>
          </cell>
          <cell r="C108" t="str">
            <v>VAR_ncap</v>
          </cell>
          <cell r="D108" t="str">
            <v>-</v>
          </cell>
          <cell r="F108">
            <v>5.3857475847752303E-8</v>
          </cell>
          <cell r="G108">
            <v>2.8952524917509402E-6</v>
          </cell>
          <cell r="H108">
            <v>2.0610211571725701E-7</v>
          </cell>
          <cell r="I108">
            <v>2.2109109559333398E-5</v>
          </cell>
          <cell r="J108">
            <v>2.3641199226586599E-5</v>
          </cell>
        </row>
        <row r="109">
          <cell r="B109" t="str">
            <v>RHES-CHPNGA</v>
          </cell>
          <cell r="C109" t="str">
            <v>VAR_cap</v>
          </cell>
          <cell r="D109" t="str">
            <v>-</v>
          </cell>
          <cell r="E109">
            <v>3.9117612678195206E-3</v>
          </cell>
          <cell r="F109">
            <v>5.5532989069400772E-4</v>
          </cell>
          <cell r="G109">
            <v>5.5659136063850978E-4</v>
          </cell>
          <cell r="H109">
            <v>5.4069694690126997E-4</v>
          </cell>
          <cell r="I109">
            <v>1.5794042729500195E-4</v>
          </cell>
          <cell r="J109">
            <v>5.3997175572326756E-5</v>
          </cell>
        </row>
        <row r="110">
          <cell r="B110" t="str">
            <v>RHEM-CHPWOD</v>
          </cell>
          <cell r="C110" t="str">
            <v>VAR_fout</v>
          </cell>
          <cell r="D110" t="str">
            <v>RHEM_KEV_WOD_ELC_CHP</v>
          </cell>
          <cell r="H110">
            <v>5.5121393025908281E-4</v>
          </cell>
          <cell r="I110">
            <v>4.6788598460720607E-4</v>
          </cell>
          <cell r="J110">
            <v>2.5726335152195817E-4</v>
          </cell>
        </row>
        <row r="111">
          <cell r="B111" t="str">
            <v>RHEM-CHPWOD</v>
          </cell>
          <cell r="C111" t="str">
            <v>VAR_fout</v>
          </cell>
          <cell r="D111" t="str">
            <v>RHEM_LTH_CHPWOD</v>
          </cell>
          <cell r="H111">
            <v>1.4662833612803198E-3</v>
          </cell>
          <cell r="I111">
            <v>1.2446228161965096E-3</v>
          </cell>
          <cell r="J111">
            <v>6.8434586119141673E-4</v>
          </cell>
        </row>
        <row r="112">
          <cell r="B112" t="str">
            <v>RHEM-CHPWOD</v>
          </cell>
          <cell r="C112" t="str">
            <v>VAR_fin</v>
          </cell>
          <cell r="D112" t="str">
            <v>RWOD</v>
          </cell>
          <cell r="H112">
            <v>2.4107482189680532E-3</v>
          </cell>
          <cell r="I112">
            <v>1.9530895780757375E-3</v>
          </cell>
          <cell r="J112">
            <v>1.0322909788019188E-3</v>
          </cell>
        </row>
        <row r="113">
          <cell r="B113" t="str">
            <v>RHEM-CHPWOD</v>
          </cell>
          <cell r="C113" t="str">
            <v>VAR_ncap</v>
          </cell>
          <cell r="D113" t="str">
            <v>-</v>
          </cell>
          <cell r="H113">
            <v>4.0974434385270502E-5</v>
          </cell>
          <cell r="I113">
            <v>7.2743827827582103E-6</v>
          </cell>
          <cell r="J113">
            <v>1.53296545296893E-5</v>
          </cell>
        </row>
        <row r="114">
          <cell r="B114" t="str">
            <v>RHEM-CHPWOD</v>
          </cell>
          <cell r="C114" t="str">
            <v>VAR_cap</v>
          </cell>
          <cell r="D114" t="str">
            <v>-</v>
          </cell>
          <cell r="H114">
            <v>4.0974434385270502E-5</v>
          </cell>
          <cell r="I114">
            <v>3.8299522024368753E-5</v>
          </cell>
          <cell r="J114">
            <v>2.1879460821820554E-5</v>
          </cell>
        </row>
        <row r="115">
          <cell r="B115" t="str">
            <v>G-INTC-IMP00-FR</v>
          </cell>
          <cell r="C115" t="str">
            <v>VAR_fout</v>
          </cell>
          <cell r="D115" t="str">
            <v>ELC</v>
          </cell>
          <cell r="E115">
            <v>28.948621075058483</v>
          </cell>
          <cell r="F115">
            <v>14.181439136763565</v>
          </cell>
          <cell r="G115">
            <v>18.725854180318713</v>
          </cell>
          <cell r="H115">
            <v>12.483171710514094</v>
          </cell>
          <cell r="I115">
            <v>11.321775329329371</v>
          </cell>
          <cell r="J115">
            <v>10.389003328858351</v>
          </cell>
        </row>
        <row r="116">
          <cell r="B116" t="str">
            <v>G-INTC-IMP00-FR</v>
          </cell>
          <cell r="C116" t="str">
            <v>VAR_fin</v>
          </cell>
          <cell r="D116" t="str">
            <v>ELC_I-FR</v>
          </cell>
          <cell r="E116">
            <v>28.948621075058483</v>
          </cell>
          <cell r="F116">
            <v>14.181439136763565</v>
          </cell>
          <cell r="G116">
            <v>18.725854180318713</v>
          </cell>
          <cell r="H116">
            <v>12.483171710514094</v>
          </cell>
          <cell r="I116">
            <v>11.321775329329371</v>
          </cell>
          <cell r="J116">
            <v>10.389003328858351</v>
          </cell>
        </row>
        <row r="117">
          <cell r="B117" t="str">
            <v>G-INTC-IMP00-FR</v>
          </cell>
          <cell r="C117" t="str">
            <v>VAR_ncap</v>
          </cell>
          <cell r="D117" t="str">
            <v>-</v>
          </cell>
          <cell r="E117">
            <v>5.1919563154641796E-7</v>
          </cell>
          <cell r="F117">
            <v>4.6253204743232002E-7</v>
          </cell>
          <cell r="G117">
            <v>5.1629993888557901E-7</v>
          </cell>
          <cell r="H117">
            <v>4.7056685606379999E-7</v>
          </cell>
          <cell r="I117">
            <v>6.3480228567295695E-7</v>
          </cell>
          <cell r="J117">
            <v>9.3392657838036197E-7</v>
          </cell>
        </row>
        <row r="118">
          <cell r="B118" t="str">
            <v>G-INTC-IMP00-FR</v>
          </cell>
          <cell r="C118" t="str">
            <v>VAR_cap</v>
          </cell>
          <cell r="D118" t="str">
            <v>-</v>
          </cell>
          <cell r="E118">
            <v>1.479600645100096</v>
          </cell>
          <cell r="F118">
            <v>1.370783687280001</v>
          </cell>
          <cell r="G118">
            <v>1.3707832037077219</v>
          </cell>
          <cell r="H118">
            <v>1.370783206775797</v>
          </cell>
          <cell r="I118">
            <v>1.199999946605677</v>
          </cell>
          <cell r="J118">
            <v>1.1999998600525892</v>
          </cell>
        </row>
        <row r="119">
          <cell r="B119" t="str">
            <v>RHEM-CHPGFC</v>
          </cell>
          <cell r="C119" t="str">
            <v>VAR_fout</v>
          </cell>
          <cell r="D119" t="str">
            <v>CO2_R</v>
          </cell>
          <cell r="H119">
            <v>2.9795447646370699E-2</v>
          </cell>
          <cell r="I119">
            <v>0.231196804347341</v>
          </cell>
          <cell r="J119">
            <v>0.19390274259571899</v>
          </cell>
        </row>
        <row r="120">
          <cell r="B120" t="str">
            <v>RHEM-CHPGFC</v>
          </cell>
          <cell r="C120" t="str">
            <v>VAR_fout</v>
          </cell>
          <cell r="D120" t="str">
            <v>RHEM_LTH_CHPNGA</v>
          </cell>
          <cell r="H120">
            <v>2.4850671228462344E-4</v>
          </cell>
          <cell r="I120">
            <v>1.9118827933971635E-3</v>
          </cell>
          <cell r="J120">
            <v>1.5470963504977543E-3</v>
          </cell>
        </row>
        <row r="121">
          <cell r="B121" t="str">
            <v>RHEM-CHPGFC</v>
          </cell>
          <cell r="C121" t="str">
            <v>VAR_fout</v>
          </cell>
          <cell r="D121" t="str">
            <v>RHEM_NKEV_GAS_ELC_CHP</v>
          </cell>
          <cell r="H121">
            <v>2.2188099311127053E-4</v>
          </cell>
          <cell r="I121">
            <v>1.803663012638833E-3</v>
          </cell>
          <cell r="J121">
            <v>1.5470963504977543E-3</v>
          </cell>
        </row>
        <row r="122">
          <cell r="B122" t="str">
            <v>RHEM-CHPGFC</v>
          </cell>
          <cell r="C122" t="str">
            <v>VAR_fin</v>
          </cell>
          <cell r="D122" t="str">
            <v>RNGA</v>
          </cell>
          <cell r="H122">
            <v>5.2828807883635923E-4</v>
          </cell>
          <cell r="I122">
            <v>4.0992341196337077E-3</v>
          </cell>
          <cell r="J122">
            <v>3.4379918899950074E-3</v>
          </cell>
        </row>
        <row r="123">
          <cell r="B123" t="str">
            <v>RHEM-CHPGFC</v>
          </cell>
          <cell r="C123" t="str">
            <v>VAR_ncap</v>
          </cell>
          <cell r="D123" t="str">
            <v>-</v>
          </cell>
          <cell r="H123">
            <v>1.97222517298403E-5</v>
          </cell>
          <cell r="I123">
            <v>8.2380130613790001E-5</v>
          </cell>
          <cell r="J123">
            <v>3.6983172431859299E-6</v>
          </cell>
        </row>
        <row r="124">
          <cell r="B124" t="str">
            <v>RHEM-CHPGFC</v>
          </cell>
          <cell r="C124" t="str">
            <v>VAR_cap</v>
          </cell>
          <cell r="D124" t="str">
            <v>-</v>
          </cell>
          <cell r="H124">
            <v>1.97222517298403E-5</v>
          </cell>
          <cell r="I124">
            <v>1.6004488414071201E-4</v>
          </cell>
          <cell r="J124">
            <v>1.3731672455450782E-4</v>
          </cell>
        </row>
        <row r="125">
          <cell r="B125" t="str">
            <v>EHYD-RUNS10</v>
          </cell>
          <cell r="C125" t="str">
            <v>VAR_fout</v>
          </cell>
          <cell r="D125" t="str">
            <v>ELC35</v>
          </cell>
          <cell r="F125">
            <v>6.2689207323578873E-4</v>
          </cell>
          <cell r="G125">
            <v>7.6209103856933447E-4</v>
          </cell>
          <cell r="H125">
            <v>7.6890476968510487E-4</v>
          </cell>
          <cell r="I125">
            <v>8.2556411433954812E-4</v>
          </cell>
          <cell r="J125">
            <v>8.2373140589173696E-4</v>
          </cell>
        </row>
        <row r="126">
          <cell r="B126" t="str">
            <v>EHYD-RUNS10</v>
          </cell>
          <cell r="C126" t="str">
            <v>VAR_fin</v>
          </cell>
          <cell r="D126" t="str">
            <v>HYDR</v>
          </cell>
          <cell r="F126">
            <v>6.2689207323578873E-4</v>
          </cell>
          <cell r="G126">
            <v>7.6209103856933447E-4</v>
          </cell>
          <cell r="H126">
            <v>7.6890476968510487E-4</v>
          </cell>
          <cell r="I126">
            <v>8.2556411433954812E-4</v>
          </cell>
          <cell r="J126">
            <v>8.2373140589173696E-4</v>
          </cell>
        </row>
        <row r="127">
          <cell r="B127" t="str">
            <v>EHYD-RUNS10</v>
          </cell>
          <cell r="C127" t="str">
            <v>VAR_ncap</v>
          </cell>
          <cell r="D127" t="str">
            <v>-</v>
          </cell>
          <cell r="F127">
            <v>5.6800721640178303E-5</v>
          </cell>
          <cell r="G127">
            <v>1.2533235909445501E-5</v>
          </cell>
          <cell r="H127">
            <v>1.4540398734760401E-7</v>
          </cell>
          <cell r="I127">
            <v>1.11091824334755E-7</v>
          </cell>
          <cell r="J127">
            <v>2.55180603235732E-8</v>
          </cell>
        </row>
        <row r="128">
          <cell r="B128" t="str">
            <v>EHYD-RUNS10</v>
          </cell>
          <cell r="C128" t="str">
            <v>VAR_cap</v>
          </cell>
          <cell r="D128" t="str">
            <v>-</v>
          </cell>
          <cell r="F128">
            <v>5.6800721640178303E-5</v>
          </cell>
          <cell r="G128">
            <v>6.9333957549623802E-5</v>
          </cell>
          <cell r="H128">
            <v>6.9479361536971398E-5</v>
          </cell>
          <cell r="I128">
            <v>6.9626100813144305E-5</v>
          </cell>
          <cell r="J128">
            <v>6.96516188734678E-5</v>
          </cell>
        </row>
        <row r="129">
          <cell r="B129" t="str">
            <v>SUP_WSTBIO</v>
          </cell>
          <cell r="C129" t="str">
            <v>VAR_fout</v>
          </cell>
          <cell r="D129" t="str">
            <v>ELC35</v>
          </cell>
          <cell r="E129">
            <v>0.11258783202760658</v>
          </cell>
          <cell r="F129">
            <v>0.11274332089366679</v>
          </cell>
          <cell r="G129">
            <v>0.10855956372149003</v>
          </cell>
          <cell r="H129">
            <v>0.11235381902909114</v>
          </cell>
          <cell r="I129">
            <v>0.10889305323468226</v>
          </cell>
          <cell r="J129">
            <v>0.10246398735273977</v>
          </cell>
        </row>
        <row r="130">
          <cell r="B130" t="str">
            <v>SUP_WSTBIO</v>
          </cell>
          <cell r="C130" t="str">
            <v>VAR_fout</v>
          </cell>
          <cell r="D130" t="str">
            <v>BIO</v>
          </cell>
          <cell r="E130">
            <v>5.6293916013803278</v>
          </cell>
          <cell r="F130">
            <v>5.6371660446833429</v>
          </cell>
          <cell r="G130">
            <v>5.4279781860745011</v>
          </cell>
          <cell r="H130">
            <v>5.6176909514545557</v>
          </cell>
          <cell r="I130">
            <v>5.4446526617341142</v>
          </cell>
          <cell r="J130">
            <v>5.1231993676369862</v>
          </cell>
        </row>
        <row r="131">
          <cell r="B131" t="str">
            <v>SUP_WSTBIO</v>
          </cell>
          <cell r="C131" t="str">
            <v>VAR_fin</v>
          </cell>
          <cell r="D131" t="str">
            <v>CWST</v>
          </cell>
          <cell r="E131">
            <v>9.6793367591733741</v>
          </cell>
          <cell r="F131">
            <v>9.6927043591155311</v>
          </cell>
          <cell r="G131">
            <v>9.3330207782275139</v>
          </cell>
          <cell r="H131">
            <v>9.659218327386716</v>
          </cell>
          <cell r="I131">
            <v>9.3616913480902593</v>
          </cell>
          <cell r="J131">
            <v>8.8089753698398336</v>
          </cell>
        </row>
        <row r="132">
          <cell r="B132" t="str">
            <v>SUP_WSTBIO</v>
          </cell>
          <cell r="C132" t="str">
            <v>VAR_ncap</v>
          </cell>
          <cell r="D132" t="str">
            <v>-</v>
          </cell>
          <cell r="E132">
            <v>4.0959279090251903E-3</v>
          </cell>
          <cell r="F132">
            <v>2.93644068722361E-4</v>
          </cell>
          <cell r="G132">
            <v>2.8081667969012001E-7</v>
          </cell>
          <cell r="H132">
            <v>7.2850152071126106E-2</v>
          </cell>
          <cell r="I132">
            <v>1.4398698868017401E-2</v>
          </cell>
          <cell r="J132">
            <v>6.7085355976626501E-2</v>
          </cell>
        </row>
        <row r="133">
          <cell r="B133" t="str">
            <v>SUP_WSTBIO</v>
          </cell>
          <cell r="C133" t="str">
            <v>VAR_cap</v>
          </cell>
          <cell r="D133" t="str">
            <v>-</v>
          </cell>
          <cell r="E133">
            <v>0.21266628957608558</v>
          </cell>
          <cell r="F133">
            <v>0.21295970452938212</v>
          </cell>
          <cell r="G133">
            <v>0.21295716226409073</v>
          </cell>
          <cell r="H133">
            <v>0.21222392322088041</v>
          </cell>
          <cell r="I133">
            <v>0.20568679270998599</v>
          </cell>
          <cell r="J133">
            <v>0.19354298581583462</v>
          </cell>
        </row>
        <row r="134">
          <cell r="B134" t="str">
            <v>ITOT-CHPNGACCS</v>
          </cell>
          <cell r="C134" t="str">
            <v>VAR_fout</v>
          </cell>
          <cell r="D134" t="str">
            <v>CO2_I</v>
          </cell>
          <cell r="I134">
            <v>4.34826811384262E-3</v>
          </cell>
          <cell r="J134">
            <v>2.5048518009514798E-3</v>
          </cell>
        </row>
        <row r="135">
          <cell r="B135" t="str">
            <v>ITOT-CHPNGACCS</v>
          </cell>
          <cell r="C135" t="str">
            <v>VAR_fin</v>
          </cell>
          <cell r="D135" t="str">
            <v>INGA</v>
          </cell>
          <cell r="I135">
            <v>7.7096952373096071E-5</v>
          </cell>
          <cell r="J135">
            <v>4.4412265974316994E-5</v>
          </cell>
        </row>
        <row r="136">
          <cell r="B136" t="str">
            <v>SCOM-ESOLPV</v>
          </cell>
          <cell r="C136" t="str">
            <v>VAR_fout</v>
          </cell>
          <cell r="D136" t="str">
            <v>SCOM_SOL_ELC</v>
          </cell>
          <cell r="E136">
            <v>2.8396236857719668</v>
          </cell>
          <cell r="F136">
            <v>3.2944551119704646</v>
          </cell>
          <cell r="G136">
            <v>6.8323981056899878</v>
          </cell>
          <cell r="H136">
            <v>7.9480117706131743</v>
          </cell>
          <cell r="I136">
            <v>8.7795508224671206</v>
          </cell>
          <cell r="J136">
            <v>9.6980869845127362</v>
          </cell>
        </row>
        <row r="137">
          <cell r="B137" t="str">
            <v>SCOM-ESOLPV</v>
          </cell>
          <cell r="C137" t="str">
            <v>VAR_fin</v>
          </cell>
          <cell r="D137" t="str">
            <v>SOL</v>
          </cell>
          <cell r="E137">
            <v>2.8396236857719668</v>
          </cell>
          <cell r="F137">
            <v>3.2944551119704646</v>
          </cell>
          <cell r="G137">
            <v>6.8323981056899878</v>
          </cell>
          <cell r="H137">
            <v>7.9480117706131743</v>
          </cell>
          <cell r="I137">
            <v>8.7795508224671206</v>
          </cell>
          <cell r="J137">
            <v>9.6980869845127362</v>
          </cell>
        </row>
        <row r="138">
          <cell r="B138" t="str">
            <v>SCOM-ESOLPV</v>
          </cell>
          <cell r="C138" t="str">
            <v>VAR_fin</v>
          </cell>
          <cell r="D138" t="str">
            <v>SOLPVC</v>
          </cell>
          <cell r="E138">
            <v>2.8396236857719699</v>
          </cell>
          <cell r="F138">
            <v>3.2944551119704601</v>
          </cell>
          <cell r="G138">
            <v>6.8323981056899896</v>
          </cell>
          <cell r="H138">
            <v>7.9480117706131699</v>
          </cell>
          <cell r="I138">
            <v>8.7795508224671206</v>
          </cell>
          <cell r="J138">
            <v>9.6980869845127309</v>
          </cell>
        </row>
        <row r="139">
          <cell r="B139" t="str">
            <v>SCOM-ESOLPV</v>
          </cell>
          <cell r="C139" t="str">
            <v>VAR_ncap</v>
          </cell>
          <cell r="D139" t="str">
            <v>-</v>
          </cell>
          <cell r="F139">
            <v>2.5310974156526301E-8</v>
          </cell>
          <cell r="G139">
            <v>1.00471642665821</v>
          </cell>
          <cell r="H139">
            <v>0.195805477313263</v>
          </cell>
          <cell r="I139">
            <v>0.53028491104633801</v>
          </cell>
          <cell r="J139">
            <v>1.7493454979707099</v>
          </cell>
        </row>
        <row r="140">
          <cell r="B140" t="str">
            <v>SCOM-ESOLPV</v>
          </cell>
          <cell r="C140" t="str">
            <v>VAR_cap</v>
          </cell>
          <cell r="D140" t="str">
            <v>-</v>
          </cell>
          <cell r="E140">
            <v>0.90292899999999998</v>
          </cell>
          <cell r="F140">
            <v>1.1231012868789843</v>
          </cell>
          <cell r="G140">
            <v>2.1799454519691803</v>
          </cell>
          <cell r="H140">
            <v>2.2911811075231201</v>
          </cell>
          <cell r="I140">
            <v>2.5308891318190287</v>
          </cell>
          <cell r="J140">
            <v>2.7956756446257098</v>
          </cell>
        </row>
        <row r="141">
          <cell r="B141" t="str">
            <v>D-SCOM_LTH</v>
          </cell>
          <cell r="C141" t="str">
            <v>VAR_fout</v>
          </cell>
          <cell r="D141" t="str">
            <v>SCOM_LTH_DH</v>
          </cell>
          <cell r="E141">
            <v>5.6100019612470629</v>
          </cell>
          <cell r="F141">
            <v>6.0767035911851108</v>
          </cell>
          <cell r="G141">
            <v>5.927329426930628</v>
          </cell>
          <cell r="H141">
            <v>6.7886448761595863</v>
          </cell>
          <cell r="I141">
            <v>7.4384098249013153</v>
          </cell>
          <cell r="J141">
            <v>7.598040059595057</v>
          </cell>
        </row>
        <row r="142">
          <cell r="B142" t="str">
            <v>D-SCOM_LTH</v>
          </cell>
          <cell r="C142" t="str">
            <v>VAR_fin</v>
          </cell>
          <cell r="D142" t="str">
            <v>LTH</v>
          </cell>
          <cell r="E142">
            <v>6.0987778658224059</v>
          </cell>
          <cell r="F142">
            <v>6.6044050744883602</v>
          </cell>
          <cell r="G142">
            <v>6.4395206686292985</v>
          </cell>
          <cell r="H142">
            <v>7.3704232589750083</v>
          </cell>
          <cell r="I142">
            <v>8.0652851094412412</v>
          </cell>
          <cell r="J142">
            <v>8.2275822248214574</v>
          </cell>
        </row>
        <row r="143">
          <cell r="B143" t="str">
            <v>D-SCOM_LTH</v>
          </cell>
          <cell r="C143" t="str">
            <v>VAR_ncap</v>
          </cell>
          <cell r="D143" t="str">
            <v>-</v>
          </cell>
          <cell r="E143">
            <v>0.84970019009686104</v>
          </cell>
          <cell r="F143">
            <v>1.64461605818668E-8</v>
          </cell>
          <cell r="G143">
            <v>1.8814693025774099E-8</v>
          </cell>
          <cell r="H143">
            <v>2.17235351639106E-8</v>
          </cell>
          <cell r="I143">
            <v>3.48479903979814E-8</v>
          </cell>
          <cell r="J143">
            <v>4.2606942641674601E-8</v>
          </cell>
        </row>
        <row r="144">
          <cell r="B144" t="str">
            <v>D-SCOM_LTH</v>
          </cell>
          <cell r="C144" t="str">
            <v>VAR_cap</v>
          </cell>
          <cell r="D144" t="str">
            <v>-</v>
          </cell>
          <cell r="E144">
            <v>0.84970019009686104</v>
          </cell>
          <cell r="F144">
            <v>0.84970020654302203</v>
          </cell>
          <cell r="G144">
            <v>0.84970022535771506</v>
          </cell>
          <cell r="H144">
            <v>0.84970024708125003</v>
          </cell>
          <cell r="I144">
            <v>0.84970031388300105</v>
          </cell>
          <cell r="J144">
            <v>0.84970035648994402</v>
          </cell>
        </row>
        <row r="145">
          <cell r="B145" t="str">
            <v>EHYD-RUNS15</v>
          </cell>
          <cell r="C145" t="str">
            <v>VAR_fout</v>
          </cell>
          <cell r="D145" t="str">
            <v>ELC35</v>
          </cell>
          <cell r="F145">
            <v>1.8961897452240037E-4</v>
          </cell>
          <cell r="G145">
            <v>3.9629147565175296E-4</v>
          </cell>
          <cell r="H145">
            <v>6.1768460156723924E-4</v>
          </cell>
          <cell r="I145">
            <v>6.9700892867884069E-4</v>
          </cell>
          <cell r="J145">
            <v>7.3699326923304831E-4</v>
          </cell>
        </row>
        <row r="146">
          <cell r="B146" t="str">
            <v>EHYD-RUNS15</v>
          </cell>
          <cell r="C146" t="str">
            <v>VAR_fin</v>
          </cell>
          <cell r="D146" t="str">
            <v>HYDR</v>
          </cell>
          <cell r="F146">
            <v>1.8961897452240037E-4</v>
          </cell>
          <cell r="G146">
            <v>3.9629147565175296E-4</v>
          </cell>
          <cell r="H146">
            <v>6.1768460156723924E-4</v>
          </cell>
          <cell r="I146">
            <v>6.9700892867884069E-4</v>
          </cell>
          <cell r="J146">
            <v>7.3699326923304831E-4</v>
          </cell>
        </row>
        <row r="147">
          <cell r="B147" t="str">
            <v>EHYD-RUNS15</v>
          </cell>
          <cell r="C147" t="str">
            <v>VAR_ncap</v>
          </cell>
          <cell r="D147" t="str">
            <v>-</v>
          </cell>
          <cell r="F147">
            <v>1.6316586546553499E-5</v>
          </cell>
          <cell r="G147">
            <v>1.6869702522384701E-5</v>
          </cell>
          <cell r="H147">
            <v>1.7101656278905699E-5</v>
          </cell>
          <cell r="I147">
            <v>3.4041739003531698E-8</v>
          </cell>
          <cell r="J147">
            <v>4.3269704322419301E-8</v>
          </cell>
        </row>
        <row r="148">
          <cell r="B148" t="str">
            <v>EHYD-RUNS15</v>
          </cell>
          <cell r="C148" t="str">
            <v>VAR_cap</v>
          </cell>
          <cell r="D148" t="str">
            <v>-</v>
          </cell>
          <cell r="F148">
            <v>1.6316586546553499E-5</v>
          </cell>
          <cell r="G148">
            <v>3.3186289068938102E-5</v>
          </cell>
          <cell r="H148">
            <v>5.0287945347843797E-5</v>
          </cell>
          <cell r="I148">
            <v>5.0371067276346701E-5</v>
          </cell>
          <cell r="J148">
            <v>5.0414336980669099E-5</v>
          </cell>
        </row>
        <row r="149">
          <cell r="B149" t="str">
            <v>EHYD-RUN10</v>
          </cell>
          <cell r="C149" t="str">
            <v>VAR_fout</v>
          </cell>
          <cell r="D149" t="str">
            <v>ELC13</v>
          </cell>
          <cell r="F149">
            <v>1.0873441602263713E-3</v>
          </cell>
          <cell r="G149">
            <v>1.1595070877323693E-3</v>
          </cell>
          <cell r="H149">
            <v>1.1798989849180288E-3</v>
          </cell>
          <cell r="I149">
            <v>1.2215348075022463E-3</v>
          </cell>
          <cell r="J149">
            <v>1.1943238107756876E-3</v>
          </cell>
        </row>
        <row r="150">
          <cell r="B150" t="str">
            <v>EHYD-RUN10</v>
          </cell>
          <cell r="C150" t="str">
            <v>VAR_fin</v>
          </cell>
          <cell r="D150" t="str">
            <v>HYDR</v>
          </cell>
          <cell r="F150">
            <v>1.0873441602263713E-3</v>
          </cell>
          <cell r="G150">
            <v>1.1595070877323693E-3</v>
          </cell>
          <cell r="H150">
            <v>1.1798989849180288E-3</v>
          </cell>
          <cell r="I150">
            <v>1.2215348075022463E-3</v>
          </cell>
          <cell r="J150">
            <v>1.1943238107756876E-3</v>
          </cell>
        </row>
        <row r="151">
          <cell r="B151" t="str">
            <v>EHYD-RUN10</v>
          </cell>
          <cell r="C151" t="str">
            <v>VAR_ncap</v>
          </cell>
          <cell r="D151" t="str">
            <v>-</v>
          </cell>
          <cell r="F151">
            <v>9.2957992598033794E-5</v>
          </cell>
          <cell r="G151">
            <v>5.6659725244815504E-6</v>
          </cell>
          <cell r="H151">
            <v>2.55822878928948E-7</v>
          </cell>
          <cell r="I151">
            <v>1.6971899807071E-7</v>
          </cell>
          <cell r="J151">
            <v>3.6584311611546798E-8</v>
          </cell>
        </row>
        <row r="152">
          <cell r="B152" t="str">
            <v>EHYD-RUN10</v>
          </cell>
          <cell r="C152" t="str">
            <v>VAR_cap</v>
          </cell>
          <cell r="D152" t="str">
            <v>-</v>
          </cell>
          <cell r="F152">
            <v>9.2957992598033794E-5</v>
          </cell>
          <cell r="G152">
            <v>9.8623965122515293E-5</v>
          </cell>
          <cell r="H152">
            <v>9.8879788001444302E-5</v>
          </cell>
          <cell r="I152">
            <v>9.9144319888019202E-5</v>
          </cell>
          <cell r="J152">
            <v>9.9180904199630706E-5</v>
          </cell>
        </row>
        <row r="153">
          <cell r="B153" t="str">
            <v>ITOT-CHPWOD</v>
          </cell>
          <cell r="C153" t="str">
            <v>VAR_fout</v>
          </cell>
          <cell r="D153" t="str">
            <v>ITOT_LTH_CHP</v>
          </cell>
          <cell r="E153">
            <v>0.65958369294156327</v>
          </cell>
          <cell r="F153">
            <v>1.8135486835555503</v>
          </cell>
          <cell r="G153">
            <v>2.7639614845893288</v>
          </cell>
          <cell r="H153">
            <v>3.4650975398166826</v>
          </cell>
          <cell r="I153">
            <v>9.5954637891387868</v>
          </cell>
          <cell r="J153">
            <v>12.444636740706802</v>
          </cell>
        </row>
        <row r="154">
          <cell r="B154" t="str">
            <v>ITOT-CHPWOD</v>
          </cell>
          <cell r="C154" t="str">
            <v>VAR_fout</v>
          </cell>
          <cell r="D154" t="str">
            <v>ITOT_KEV_WOD_ELC_CHP</v>
          </cell>
          <cell r="E154">
            <v>0.17246596002572162</v>
          </cell>
          <cell r="F154">
            <v>0.5207426948806555</v>
          </cell>
          <cell r="G154">
            <v>0.93065607905338055</v>
          </cell>
          <cell r="H154">
            <v>1.6380461097315191</v>
          </cell>
          <cell r="I154">
            <v>4.5360374275928725</v>
          </cell>
          <cell r="J154">
            <v>5.8829191865159345</v>
          </cell>
        </row>
        <row r="155">
          <cell r="B155" t="str">
            <v>ITOT-CHPWOD</v>
          </cell>
          <cell r="C155" t="str">
            <v>VAR_fin</v>
          </cell>
          <cell r="D155" t="str">
            <v>IWOD</v>
          </cell>
          <cell r="E155">
            <v>0.87269936152056027</v>
          </cell>
          <cell r="F155">
            <v>2.306061370509406</v>
          </cell>
          <cell r="G155">
            <v>4.5222899692885878</v>
          </cell>
          <cell r="H155">
            <v>4.8393790150365534</v>
          </cell>
          <cell r="I155">
            <v>12.847830194626273</v>
          </cell>
          <cell r="J155">
            <v>16.002728702908154</v>
          </cell>
        </row>
        <row r="156">
          <cell r="B156" t="str">
            <v>ITOT-CHPWOD</v>
          </cell>
          <cell r="C156" t="str">
            <v>VAR_ncap</v>
          </cell>
          <cell r="D156" t="str">
            <v>-</v>
          </cell>
          <cell r="F156">
            <v>1.7575196641845699E-2</v>
          </cell>
          <cell r="G156">
            <v>1.515638915643E-2</v>
          </cell>
          <cell r="H156">
            <v>2.6155619079854101E-2</v>
          </cell>
          <cell r="I156">
            <v>7.5060370119897593E-2</v>
          </cell>
          <cell r="J156">
            <v>0.14531432012840101</v>
          </cell>
        </row>
        <row r="157">
          <cell r="B157" t="str">
            <v>ITOT-CHPWOD</v>
          </cell>
          <cell r="C157" t="str">
            <v>VAR_cap</v>
          </cell>
          <cell r="D157" t="str">
            <v>-</v>
          </cell>
          <cell r="E157">
            <v>6.4028293104844303E-3</v>
          </cell>
          <cell r="F157">
            <v>1.9254184833701313E-2</v>
          </cell>
          <cell r="G157">
            <v>3.4410504817366218E-2</v>
          </cell>
          <cell r="H157">
            <v>6.0565941057949241E-2</v>
          </cell>
          <cell r="I157">
            <v>0.18823325897560209</v>
          </cell>
          <cell r="J157">
            <v>0.23896782218261794</v>
          </cell>
        </row>
        <row r="158">
          <cell r="B158" t="str">
            <v>EHYD-RUN15</v>
          </cell>
          <cell r="C158" t="str">
            <v>VAR_fout</v>
          </cell>
          <cell r="D158" t="str">
            <v>ELC13</v>
          </cell>
          <cell r="F158">
            <v>3.3139886849829591E-4</v>
          </cell>
          <cell r="G158">
            <v>6.2748975301422276E-4</v>
          </cell>
          <cell r="H158">
            <v>1.1265696022874419E-3</v>
          </cell>
          <cell r="I158">
            <v>0.24677237784968509</v>
          </cell>
          <cell r="J158">
            <v>6.0111320046555878</v>
          </cell>
        </row>
        <row r="159">
          <cell r="B159" t="str">
            <v>EHYD-RUN15</v>
          </cell>
          <cell r="C159" t="str">
            <v>VAR_fin</v>
          </cell>
          <cell r="D159" t="str">
            <v>HYDR</v>
          </cell>
          <cell r="F159">
            <v>3.3139886849829591E-4</v>
          </cell>
          <cell r="G159">
            <v>6.2748975301422276E-4</v>
          </cell>
          <cell r="H159">
            <v>1.1265696022874419E-3</v>
          </cell>
          <cell r="I159">
            <v>0.24677237784968509</v>
          </cell>
          <cell r="J159">
            <v>6.0111320046555878</v>
          </cell>
        </row>
        <row r="160">
          <cell r="B160" t="str">
            <v>EHYD-RUN15</v>
          </cell>
          <cell r="C160" t="str">
            <v>VAR_ncap</v>
          </cell>
          <cell r="D160" t="str">
            <v>-</v>
          </cell>
          <cell r="F160">
            <v>2.81338903285001E-5</v>
          </cell>
          <cell r="G160">
            <v>2.3954484253045101E-5</v>
          </cell>
          <cell r="H160">
            <v>3.5954145053672898E-5</v>
          </cell>
          <cell r="I160">
            <v>1.74315124905387E-2</v>
          </cell>
          <cell r="J160">
            <v>0.41539310632583998</v>
          </cell>
        </row>
        <row r="161">
          <cell r="B161" t="str">
            <v>EHYD-RUN15</v>
          </cell>
          <cell r="C161" t="str">
            <v>VAR_cap</v>
          </cell>
          <cell r="D161" t="str">
            <v>-</v>
          </cell>
          <cell r="F161">
            <v>2.81338903285001E-5</v>
          </cell>
          <cell r="G161">
            <v>5.2088374581545198E-5</v>
          </cell>
          <cell r="H161">
            <v>8.8042519635218205E-5</v>
          </cell>
          <cell r="I161">
            <v>1.7543643363648002E-2</v>
          </cell>
          <cell r="J161">
            <v>0.43293674968948798</v>
          </cell>
        </row>
        <row r="162">
          <cell r="B162" t="str">
            <v>SCOM-SWHSTG-CHPWOD</v>
          </cell>
          <cell r="C162" t="str">
            <v>VAR_fout</v>
          </cell>
          <cell r="D162" t="str">
            <v>AUX_SCOM-CHPWOD_OUT</v>
          </cell>
          <cell r="E162">
            <v>2.2385486062073643E-5</v>
          </cell>
          <cell r="F162">
            <v>1.551547807989473E-5</v>
          </cell>
          <cell r="G162">
            <v>1.5847952610319317E-5</v>
          </cell>
          <cell r="H162">
            <v>6.2350750076607137E-3</v>
          </cell>
          <cell r="I162">
            <v>1.0888365087192996E-2</v>
          </cell>
          <cell r="J162">
            <v>2.5131288534998974E-2</v>
          </cell>
        </row>
        <row r="163">
          <cell r="B163" t="str">
            <v>SCOM-SWHSTG-CHPWOD</v>
          </cell>
          <cell r="C163" t="str">
            <v>VAR_fout</v>
          </cell>
          <cell r="D163" t="str">
            <v>SCOM_LTH_CHPWOD</v>
          </cell>
          <cell r="E163">
            <v>2.2385486062073677E-5</v>
          </cell>
          <cell r="F163">
            <v>1.5528159952143972E-5</v>
          </cell>
          <cell r="G163">
            <v>1.5868192651967233E-5</v>
          </cell>
          <cell r="H163">
            <v>6.2350750076607085E-3</v>
          </cell>
          <cell r="I163">
            <v>1.0888365087192989E-2</v>
          </cell>
          <cell r="J163">
            <v>2.513128853499897E-2</v>
          </cell>
        </row>
        <row r="164">
          <cell r="B164" t="str">
            <v>SCOM-SWHSTG-CHPWOD</v>
          </cell>
          <cell r="C164" t="str">
            <v>VAR_fin</v>
          </cell>
          <cell r="D164" t="str">
            <v>AUX_SCOM-CHPWOD_IN</v>
          </cell>
          <cell r="E164">
            <v>2.2385486062073677E-5</v>
          </cell>
          <cell r="F164">
            <v>1.5528159952143972E-5</v>
          </cell>
          <cell r="G164">
            <v>1.5868192651967233E-5</v>
          </cell>
          <cell r="H164">
            <v>7.1656441195835233E-3</v>
          </cell>
          <cell r="I164">
            <v>1.1707843551464791E-2</v>
          </cell>
          <cell r="J164">
            <v>2.5385217958032228E-2</v>
          </cell>
        </row>
        <row r="165">
          <cell r="B165" t="str">
            <v>SCOM-SWHSTG-CHPWOD</v>
          </cell>
          <cell r="C165" t="str">
            <v>VAR_fin</v>
          </cell>
          <cell r="D165" t="str">
            <v>SCOM_LTH_CHPWOD</v>
          </cell>
          <cell r="E165">
            <v>2.2385486062073677E-5</v>
          </cell>
          <cell r="F165">
            <v>1.5528159952143972E-5</v>
          </cell>
          <cell r="G165">
            <v>1.5868192651967233E-5</v>
          </cell>
          <cell r="H165">
            <v>7.1656441195835233E-3</v>
          </cell>
          <cell r="I165">
            <v>1.1707843551464791E-2</v>
          </cell>
          <cell r="J165">
            <v>2.5385217958032228E-2</v>
          </cell>
        </row>
        <row r="166">
          <cell r="B166" t="str">
            <v>SCOM-SWHSTG-CHPWOD</v>
          </cell>
          <cell r="C166" t="str">
            <v>VAR_ncap</v>
          </cell>
          <cell r="D166" t="str">
            <v>-</v>
          </cell>
          <cell r="E166">
            <v>4.7597310608366299E-4</v>
          </cell>
          <cell r="F166">
            <v>1.4119401354963001E-5</v>
          </cell>
          <cell r="G166">
            <v>2.20074060372543E-5</v>
          </cell>
          <cell r="H166">
            <v>2.0241209848553602E-5</v>
          </cell>
          <cell r="I166">
            <v>4.60823439517496E-5</v>
          </cell>
          <cell r="J166">
            <v>1.2395859295186199E-3</v>
          </cell>
        </row>
        <row r="167">
          <cell r="B167" t="str">
            <v>SCOM-SWHSTG-CHPWOD</v>
          </cell>
          <cell r="C167" t="str">
            <v>VAR_cap</v>
          </cell>
          <cell r="D167" t="str">
            <v>-</v>
          </cell>
          <cell r="E167">
            <v>4.7597310608366299E-4</v>
          </cell>
          <cell r="F167">
            <v>4.8863243801394187E-4</v>
          </cell>
          <cell r="G167">
            <v>5.0687580541089786E-4</v>
          </cell>
          <cell r="H167">
            <v>5.1964716780940302E-4</v>
          </cell>
          <cell r="I167">
            <v>7.479896227224564E-4</v>
          </cell>
          <cell r="J167">
            <v>1.5620030525190646E-3</v>
          </cell>
        </row>
        <row r="168">
          <cell r="B168" t="str">
            <v>RHNM-ESOLPV</v>
          </cell>
          <cell r="C168" t="str">
            <v>VAR_fout</v>
          </cell>
          <cell r="D168" t="str">
            <v>RHNM_SOL_ELC</v>
          </cell>
          <cell r="F168">
            <v>2.1543467148038538E-5</v>
          </cell>
          <cell r="G168">
            <v>2.0875019015305778</v>
          </cell>
          <cell r="H168">
            <v>2.428316046333086</v>
          </cell>
          <cell r="I168">
            <v>2.6823743281687622</v>
          </cell>
          <cell r="J168">
            <v>2.9630132624960619</v>
          </cell>
        </row>
        <row r="169">
          <cell r="B169" t="str">
            <v>RHNM-ESOLPV</v>
          </cell>
          <cell r="C169" t="str">
            <v>VAR_fin</v>
          </cell>
          <cell r="D169" t="str">
            <v>SOL</v>
          </cell>
          <cell r="F169">
            <v>2.1543467148038538E-5</v>
          </cell>
          <cell r="G169">
            <v>2.0875019015305778</v>
          </cell>
          <cell r="H169">
            <v>2.428316046333086</v>
          </cell>
          <cell r="I169">
            <v>2.6823743281687622</v>
          </cell>
          <cell r="J169">
            <v>2.9630132624960619</v>
          </cell>
        </row>
        <row r="170">
          <cell r="B170" t="str">
            <v>RHNM-ESOLPV</v>
          </cell>
          <cell r="C170" t="str">
            <v>VAR_fin</v>
          </cell>
          <cell r="D170" t="str">
            <v>SOLPVC</v>
          </cell>
          <cell r="F170">
            <v>2.1543467148038599E-5</v>
          </cell>
          <cell r="G170">
            <v>2.08750190153058</v>
          </cell>
          <cell r="H170">
            <v>2.42831604633309</v>
          </cell>
          <cell r="I170">
            <v>2.68237432816876</v>
          </cell>
          <cell r="J170">
            <v>2.9630132624960601</v>
          </cell>
        </row>
        <row r="171">
          <cell r="B171" t="str">
            <v>RHNM-ESOLPV</v>
          </cell>
          <cell r="C171" t="str">
            <v>VAR_ncap</v>
          </cell>
          <cell r="D171" t="str">
            <v>-</v>
          </cell>
          <cell r="F171">
            <v>7.3844985654719396E-6</v>
          </cell>
          <cell r="G171">
            <v>0.66603180357916203</v>
          </cell>
          <cell r="H171">
            <v>3.39747202407399E-2</v>
          </cell>
          <cell r="I171">
            <v>3.7532733194952698E-2</v>
          </cell>
          <cell r="J171">
            <v>0.77932866143176105</v>
          </cell>
        </row>
        <row r="172">
          <cell r="B172" t="str">
            <v>RHNM-ESOLPV</v>
          </cell>
          <cell r="C172" t="str">
            <v>VAR_cap</v>
          </cell>
          <cell r="D172" t="str">
            <v>-</v>
          </cell>
          <cell r="F172">
            <v>7.3844985654719396E-6</v>
          </cell>
          <cell r="G172">
            <v>0.66603918807772799</v>
          </cell>
          <cell r="H172">
            <v>0.70001390831846699</v>
          </cell>
          <cell r="I172">
            <v>0.77325113343714802</v>
          </cell>
          <cell r="J172">
            <v>0.85415037020040696</v>
          </cell>
        </row>
        <row r="173">
          <cell r="B173" t="str">
            <v>CHPNGA</v>
          </cell>
          <cell r="C173" t="str">
            <v>VAR_fout</v>
          </cell>
          <cell r="D173" t="str">
            <v>ELC35</v>
          </cell>
          <cell r="E173">
            <v>0.96588048299927987</v>
          </cell>
          <cell r="F173">
            <v>4.708654763694575E-4</v>
          </cell>
          <cell r="G173">
            <v>8.1034328856458904E-4</v>
          </cell>
          <cell r="H173">
            <v>2.4180434176640196E-3</v>
          </cell>
          <cell r="I173">
            <v>2.1312438843493144E-3</v>
          </cell>
          <cell r="J173">
            <v>2.1138981648007488E-4</v>
          </cell>
        </row>
        <row r="174">
          <cell r="B174" t="str">
            <v>CHPNGA</v>
          </cell>
          <cell r="C174" t="str">
            <v>VAR_fout</v>
          </cell>
          <cell r="D174" t="str">
            <v>LTH</v>
          </cell>
          <cell r="E174">
            <v>1.8035507221227052</v>
          </cell>
          <cell r="F174">
            <v>9.0479389411280732E-4</v>
          </cell>
          <cell r="G174">
            <v>1.623114590388827E-3</v>
          </cell>
          <cell r="H174">
            <v>5.1715463450212355E-3</v>
          </cell>
          <cell r="I174">
            <v>4.5091466005718105E-3</v>
          </cell>
          <cell r="J174">
            <v>4.4248684297225116E-4</v>
          </cell>
        </row>
        <row r="175">
          <cell r="B175" t="str">
            <v>CHPNGA</v>
          </cell>
          <cell r="C175" t="str">
            <v>VAR_fout</v>
          </cell>
          <cell r="D175" t="str">
            <v>CO2_E</v>
          </cell>
          <cell r="E175">
            <v>207.071153401906</v>
          </cell>
          <cell r="F175">
            <v>0.131793379393638</v>
          </cell>
          <cell r="G175">
            <v>0.25264777553754297</v>
          </cell>
          <cell r="H175">
            <v>0.570675259860978</v>
          </cell>
          <cell r="I175">
            <v>0.49774967344896998</v>
          </cell>
          <cell r="J175">
            <v>5.4397382301358398E-2</v>
          </cell>
        </row>
        <row r="176">
          <cell r="B176" t="str">
            <v>CHPNGA</v>
          </cell>
          <cell r="C176" t="str">
            <v>VAR_fin</v>
          </cell>
          <cell r="D176" t="str">
            <v>ENGA</v>
          </cell>
          <cell r="E176">
            <v>3.6714743510976215</v>
          </cell>
          <cell r="F176">
            <v>2.3367620459864842E-3</v>
          </cell>
          <cell r="G176">
            <v>4.4795704882543107E-3</v>
          </cell>
          <cell r="H176">
            <v>1.0118355671293936E-2</v>
          </cell>
          <cell r="I176">
            <v>8.8253488200171898E-3</v>
          </cell>
          <cell r="J176">
            <v>9.6449259399571715E-4</v>
          </cell>
        </row>
        <row r="177">
          <cell r="B177" t="str">
            <v>CHPNGA</v>
          </cell>
          <cell r="C177" t="str">
            <v>VAR_ncap</v>
          </cell>
          <cell r="D177" t="str">
            <v>-</v>
          </cell>
          <cell r="F177">
            <v>2.8118514481688102E-7</v>
          </cell>
          <cell r="G177">
            <v>8.1713620096966595E-5</v>
          </cell>
          <cell r="H177">
            <v>2.26965029953156E-5</v>
          </cell>
          <cell r="I177">
            <v>4.8823357163582303E-5</v>
          </cell>
          <cell r="J177">
            <v>5.7525968701534496E-7</v>
          </cell>
        </row>
        <row r="178">
          <cell r="B178" t="str">
            <v>CHPNGA</v>
          </cell>
          <cell r="C178" t="str">
            <v>VAR_cap</v>
          </cell>
          <cell r="D178" t="str">
            <v>-</v>
          </cell>
          <cell r="E178">
            <v>4.5928481144875397E-2</v>
          </cell>
          <cell r="F178">
            <v>1.6058335086312214E-4</v>
          </cell>
          <cell r="G178">
            <v>2.419212750470745E-4</v>
          </cell>
          <cell r="H178">
            <v>2.6310662611529756E-4</v>
          </cell>
          <cell r="I178">
            <v>2.3159161237793432E-4</v>
          </cell>
          <cell r="J178">
            <v>7.1454145441633791E-5</v>
          </cell>
        </row>
        <row r="179">
          <cell r="B179" t="str">
            <v>EHYD-PUM00</v>
          </cell>
          <cell r="C179" t="str">
            <v>VAR_fout</v>
          </cell>
          <cell r="D179" t="str">
            <v>ELC</v>
          </cell>
          <cell r="E179">
            <v>12.841921007910456</v>
          </cell>
          <cell r="F179">
            <v>16.032963981241799</v>
          </cell>
          <cell r="G179">
            <v>47.005969281712453</v>
          </cell>
          <cell r="H179">
            <v>12.555091112130375</v>
          </cell>
          <cell r="I179">
            <v>12.734576803018513</v>
          </cell>
          <cell r="J179">
            <v>13.139377794771361</v>
          </cell>
        </row>
        <row r="180">
          <cell r="B180" t="str">
            <v>EHYD-PUM00</v>
          </cell>
          <cell r="C180" t="str">
            <v>VAR_fout</v>
          </cell>
          <cell r="D180" t="str">
            <v>AUX_PUMP_OUT</v>
          </cell>
          <cell r="E180">
            <v>12.841921007910456</v>
          </cell>
          <cell r="F180">
            <v>16.032963981241799</v>
          </cell>
          <cell r="G180">
            <v>47.005969281712453</v>
          </cell>
          <cell r="H180">
            <v>12.555091112130375</v>
          </cell>
          <cell r="I180">
            <v>12.734576803018513</v>
          </cell>
          <cell r="J180">
            <v>13.139377794771361</v>
          </cell>
        </row>
        <row r="181">
          <cell r="B181" t="str">
            <v>EHYD-PUM00</v>
          </cell>
          <cell r="C181" t="str">
            <v>VAR_fin</v>
          </cell>
          <cell r="D181" t="str">
            <v>AUX_PUMP_IN</v>
          </cell>
          <cell r="E181">
            <v>16.052401314705218</v>
          </cell>
          <cell r="F181">
            <v>20.041205486405936</v>
          </cell>
          <cell r="G181">
            <v>58.757461573822702</v>
          </cell>
          <cell r="H181">
            <v>15.693863556582754</v>
          </cell>
          <cell r="I181">
            <v>15.918219348586375</v>
          </cell>
          <cell r="J181">
            <v>16.424221400900642</v>
          </cell>
        </row>
        <row r="182">
          <cell r="B182" t="str">
            <v>EHYD-PUM00</v>
          </cell>
          <cell r="C182" t="str">
            <v>VAR_fin</v>
          </cell>
          <cell r="D182" t="str">
            <v>ELC</v>
          </cell>
          <cell r="E182">
            <v>16.052401314705218</v>
          </cell>
          <cell r="F182">
            <v>20.041205486405936</v>
          </cell>
          <cell r="G182">
            <v>58.757461573822702</v>
          </cell>
          <cell r="H182">
            <v>15.693863556582754</v>
          </cell>
          <cell r="I182">
            <v>15.918219348586375</v>
          </cell>
          <cell r="J182">
            <v>16.424221400900642</v>
          </cell>
        </row>
        <row r="183">
          <cell r="B183" t="str">
            <v>EHYD-PUM00</v>
          </cell>
          <cell r="C183" t="str">
            <v>VAR_cap</v>
          </cell>
          <cell r="D183" t="str">
            <v>-</v>
          </cell>
          <cell r="E183">
            <v>3.3394499999999998</v>
          </cell>
          <cell r="F183">
            <v>3.97102894612105</v>
          </cell>
          <cell r="G183">
            <v>4.3594499999999998</v>
          </cell>
          <cell r="H183">
            <v>4.3594499999999998</v>
          </cell>
          <cell r="I183">
            <v>4.3594499999999998</v>
          </cell>
          <cell r="J183">
            <v>4.3594499999999998</v>
          </cell>
        </row>
        <row r="184">
          <cell r="B184" t="str">
            <v>RHNS-SHSTG-CHPNGA</v>
          </cell>
          <cell r="C184" t="str">
            <v>VAR_fout</v>
          </cell>
          <cell r="D184" t="str">
            <v>RHNS_LTH_CHPNGA</v>
          </cell>
          <cell r="E184">
            <v>5.3848997784368844E-5</v>
          </cell>
          <cell r="F184">
            <v>9.23943659466434E-5</v>
          </cell>
          <cell r="G184">
            <v>1.1384576345444212E-3</v>
          </cell>
          <cell r="H184">
            <v>6.794395948596844E-4</v>
          </cell>
          <cell r="I184">
            <v>8.2183751989469353E-3</v>
          </cell>
          <cell r="J184">
            <v>8.3915909793209256E-3</v>
          </cell>
        </row>
        <row r="185">
          <cell r="B185" t="str">
            <v>RHNS-SHSTG-CHPNGA</v>
          </cell>
          <cell r="C185" t="str">
            <v>VAR_fout</v>
          </cell>
          <cell r="D185" t="str">
            <v>AUX_RNS-CHPNGA_OUT</v>
          </cell>
          <cell r="E185">
            <v>5.3848997784368946E-5</v>
          </cell>
          <cell r="F185">
            <v>9.2332810739483966E-5</v>
          </cell>
          <cell r="G185">
            <v>1.1372729751952609E-3</v>
          </cell>
          <cell r="H185">
            <v>6.794395948596844E-4</v>
          </cell>
          <cell r="I185">
            <v>8.2183751989469683E-3</v>
          </cell>
          <cell r="J185">
            <v>8.3915909793209325E-3</v>
          </cell>
        </row>
        <row r="186">
          <cell r="B186" t="str">
            <v>RHNS-SHSTG-CHPNGA</v>
          </cell>
          <cell r="C186" t="str">
            <v>VAR_fin</v>
          </cell>
          <cell r="D186" t="str">
            <v>RHNS_LTH_CHPNGA</v>
          </cell>
          <cell r="E186">
            <v>4.2413121764148788E-5</v>
          </cell>
          <cell r="F186">
            <v>1.2259915354384488E-4</v>
          </cell>
          <cell r="G186">
            <v>1.4697802698100091E-3</v>
          </cell>
          <cell r="H186">
            <v>8.5008978486318415E-4</v>
          </cell>
          <cell r="I186">
            <v>9.6696554208981263E-3</v>
          </cell>
          <cell r="J186">
            <v>9.3248431159043306E-3</v>
          </cell>
        </row>
        <row r="187">
          <cell r="B187" t="str">
            <v>RHNS-SHSTG-CHPNGA</v>
          </cell>
          <cell r="C187" t="str">
            <v>VAR_fin</v>
          </cell>
          <cell r="D187" t="str">
            <v>AUX_RNS-CHPNGA_IN</v>
          </cell>
          <cell r="E187">
            <v>4.2413121764148788E-5</v>
          </cell>
          <cell r="F187">
            <v>1.2259915354384488E-4</v>
          </cell>
          <cell r="G187">
            <v>1.4697802698100091E-3</v>
          </cell>
          <cell r="H187">
            <v>8.5008978486318415E-4</v>
          </cell>
          <cell r="I187">
            <v>9.6696554208981263E-3</v>
          </cell>
          <cell r="J187">
            <v>9.3248431159043306E-3</v>
          </cell>
        </row>
        <row r="188">
          <cell r="B188" t="str">
            <v>RHNS-SHSTG-CHPNGA</v>
          </cell>
          <cell r="C188" t="str">
            <v>VAR_ncap</v>
          </cell>
          <cell r="D188" t="str">
            <v>-</v>
          </cell>
          <cell r="E188">
            <v>8.1855596077144298E-4</v>
          </cell>
          <cell r="F188">
            <v>2.5093837561817701E-5</v>
          </cell>
          <cell r="G188">
            <v>1.8443599644195399E-5</v>
          </cell>
          <cell r="H188">
            <v>9.1723765908249894E-6</v>
          </cell>
          <cell r="I188">
            <v>7.5706821385600998E-5</v>
          </cell>
          <cell r="J188">
            <v>1.8015756848796901E-4</v>
          </cell>
        </row>
        <row r="189">
          <cell r="B189" t="str">
            <v>RHNS-SHSTG-CHPNGA</v>
          </cell>
          <cell r="C189" t="str">
            <v>VAR_cap</v>
          </cell>
          <cell r="D189" t="str">
            <v>-</v>
          </cell>
          <cell r="E189">
            <v>8.1855596077144298E-4</v>
          </cell>
          <cell r="F189">
            <v>8.4220987958057852E-4</v>
          </cell>
          <cell r="G189">
            <v>8.5594310934853529E-4</v>
          </cell>
          <cell r="H189">
            <v>8.5127106226092657E-4</v>
          </cell>
          <cell r="I189">
            <v>8.2455864183928384E-4</v>
          </cell>
          <cell r="J189">
            <v>5.4597594168782774E-4</v>
          </cell>
        </row>
        <row r="190">
          <cell r="B190" t="str">
            <v>ITOT-CHPGFC</v>
          </cell>
          <cell r="C190" t="str">
            <v>VAR_fout</v>
          </cell>
          <cell r="D190" t="str">
            <v>ITOT_NKEV_GAS_ELC_CHP</v>
          </cell>
          <cell r="H190">
            <v>3.3938298852893606E-4</v>
          </cell>
          <cell r="I190">
            <v>1.8622396264710546E-3</v>
          </cell>
          <cell r="J190">
            <v>1.4362537655997539E-3</v>
          </cell>
        </row>
        <row r="191">
          <cell r="B191" t="str">
            <v>ITOT-CHPGFC</v>
          </cell>
          <cell r="C191" t="str">
            <v>VAR_fout</v>
          </cell>
          <cell r="D191" t="str">
            <v>ITOT_LTH_CHP</v>
          </cell>
          <cell r="H191">
            <v>1.69691494264468E-4</v>
          </cell>
          <cell r="I191">
            <v>8.3715359355120828E-4</v>
          </cell>
          <cell r="J191">
            <v>5.7954099313674409E-4</v>
          </cell>
        </row>
        <row r="192">
          <cell r="B192" t="str">
            <v>ITOT-CHPGFC</v>
          </cell>
          <cell r="C192" t="str">
            <v>VAR_fout</v>
          </cell>
          <cell r="D192" t="str">
            <v>CO2_I</v>
          </cell>
          <cell r="H192">
            <v>3.6810001063523098E-2</v>
          </cell>
          <cell r="I192">
            <v>0.192716174188931</v>
          </cell>
          <cell r="J192">
            <v>0.14211353049092301</v>
          </cell>
        </row>
        <row r="193">
          <cell r="B193" t="str">
            <v>ITOT-CHPGFC</v>
          </cell>
          <cell r="C193" t="str">
            <v>VAR_fin</v>
          </cell>
          <cell r="D193" t="str">
            <v>INGA</v>
          </cell>
          <cell r="H193">
            <v>6.526595933248775E-4</v>
          </cell>
          <cell r="I193">
            <v>3.4169534430661553E-3</v>
          </cell>
          <cell r="J193">
            <v>2.519743448420621E-3</v>
          </cell>
        </row>
        <row r="194">
          <cell r="B194" t="str">
            <v>ITOT-CHPGFC</v>
          </cell>
          <cell r="C194" t="str">
            <v>VAR_ncap</v>
          </cell>
          <cell r="D194" t="str">
            <v>-</v>
          </cell>
          <cell r="H194">
            <v>4.0094089144920903E-5</v>
          </cell>
          <cell r="I194">
            <v>3.1181897576372302E-5</v>
          </cell>
          <cell r="J194">
            <v>3.5885394965425301E-5</v>
          </cell>
        </row>
        <row r="195">
          <cell r="B195" t="str">
            <v>ITOT-CHPGFC</v>
          </cell>
          <cell r="C195" t="str">
            <v>VAR_cap</v>
          </cell>
          <cell r="D195" t="str">
            <v>-</v>
          </cell>
          <cell r="H195">
            <v>4.0094089144920903E-5</v>
          </cell>
          <cell r="I195">
            <v>1.00094667965006E-4</v>
          </cell>
          <cell r="J195">
            <v>7.6071971336464113E-5</v>
          </cell>
        </row>
        <row r="196">
          <cell r="B196" t="str">
            <v>ITOT-SWSTG-CHP</v>
          </cell>
          <cell r="C196" t="str">
            <v>VAR_fout</v>
          </cell>
          <cell r="D196" t="str">
            <v>ITOT_LTH_CHP</v>
          </cell>
          <cell r="E196">
            <v>1.9421512541552911E-4</v>
          </cell>
          <cell r="F196">
            <v>5.7324858791299189E-4</v>
          </cell>
          <cell r="G196">
            <v>6.9938882850566382E-3</v>
          </cell>
          <cell r="H196">
            <v>3.3003313497384436E-3</v>
          </cell>
          <cell r="I196">
            <v>0.25326091011119184</v>
          </cell>
          <cell r="J196">
            <v>0.76958711488306319</v>
          </cell>
        </row>
        <row r="197">
          <cell r="B197" t="str">
            <v>ITOT-SWSTG-CHP</v>
          </cell>
          <cell r="C197" t="str">
            <v>VAR_fout</v>
          </cell>
          <cell r="D197" t="str">
            <v>AUX_ITOT-CHP_OUT</v>
          </cell>
          <cell r="E197">
            <v>1.9421512541552879E-4</v>
          </cell>
          <cell r="F197">
            <v>5.7278041490464011E-4</v>
          </cell>
          <cell r="G197">
            <v>6.9849675091828399E-3</v>
          </cell>
          <cell r="H197">
            <v>3.3003313497384497E-3</v>
          </cell>
          <cell r="I197">
            <v>0.25326091011119195</v>
          </cell>
          <cell r="J197">
            <v>0.76958711488306319</v>
          </cell>
        </row>
        <row r="198">
          <cell r="B198" t="str">
            <v>ITOT-SWSTG-CHP</v>
          </cell>
          <cell r="C198" t="str">
            <v>VAR_fin</v>
          </cell>
          <cell r="D198" t="str">
            <v>ITOT_LTH_CHP</v>
          </cell>
          <cell r="E198">
            <v>2.4292077386881355E-4</v>
          </cell>
          <cell r="F198">
            <v>6.9851078314129168E-4</v>
          </cell>
          <cell r="G198">
            <v>8.3301077929168865E-3</v>
          </cell>
          <cell r="H198">
            <v>3.792500419130341E-3</v>
          </cell>
          <cell r="I198">
            <v>0.27233066494478825</v>
          </cell>
          <cell r="J198">
            <v>0.77736336625717839</v>
          </cell>
        </row>
        <row r="199">
          <cell r="B199" t="str">
            <v>ITOT-SWSTG-CHP</v>
          </cell>
          <cell r="C199" t="str">
            <v>VAR_fin</v>
          </cell>
          <cell r="D199" t="str">
            <v>AUX_ITOT-CHP_IN</v>
          </cell>
          <cell r="E199">
            <v>2.4292077386881355E-4</v>
          </cell>
          <cell r="F199">
            <v>6.9851078314129168E-4</v>
          </cell>
          <cell r="G199">
            <v>8.3301077929168865E-3</v>
          </cell>
          <cell r="H199">
            <v>3.792500419130341E-3</v>
          </cell>
          <cell r="I199">
            <v>0.27233066494478825</v>
          </cell>
          <cell r="J199">
            <v>0.77736336625717839</v>
          </cell>
        </row>
        <row r="200">
          <cell r="B200" t="str">
            <v>ITOT-SWSTG-CHP</v>
          </cell>
          <cell r="C200" t="str">
            <v>VAR_ncap</v>
          </cell>
          <cell r="D200" t="str">
            <v>-</v>
          </cell>
          <cell r="E200">
            <v>1.0313455177444E-3</v>
          </cell>
          <cell r="F200">
            <v>1.24703614089269E-5</v>
          </cell>
          <cell r="G200">
            <v>3.4547568780192798E-5</v>
          </cell>
          <cell r="H200">
            <v>1.0701977176460499E-5</v>
          </cell>
          <cell r="I200">
            <v>5.8865688194589101E-2</v>
          </cell>
          <cell r="J200">
            <v>0.15001041137795901</v>
          </cell>
        </row>
        <row r="201">
          <cell r="B201" t="str">
            <v>ITOT-SWSTG-CHP</v>
          </cell>
          <cell r="C201" t="str">
            <v>VAR_cap</v>
          </cell>
          <cell r="D201" t="str">
            <v>-</v>
          </cell>
          <cell r="E201">
            <v>1.041752582387575E-3</v>
          </cell>
          <cell r="F201">
            <v>1.0510809144033339E-3</v>
          </cell>
          <cell r="G201">
            <v>1.0810089564192266E-3</v>
          </cell>
          <cell r="H201">
            <v>1.0775101468171186E-3</v>
          </cell>
          <cell r="I201">
            <v>6.3625475411086319E-2</v>
          </cell>
          <cell r="J201">
            <v>0.1947377843003279</v>
          </cell>
        </row>
        <row r="202">
          <cell r="B202" t="str">
            <v>D-ELFO</v>
          </cell>
          <cell r="C202" t="str">
            <v>VAR_fout</v>
          </cell>
          <cell r="D202" t="str">
            <v>CO2</v>
          </cell>
          <cell r="E202">
            <v>26.218083112941201</v>
          </cell>
          <cell r="F202">
            <v>177.04439333735201</v>
          </cell>
          <cell r="G202">
            <v>0.57880835599688796</v>
          </cell>
          <cell r="H202">
            <v>0.30014618763735901</v>
          </cell>
          <cell r="I202">
            <v>0.405015647878469</v>
          </cell>
          <cell r="J202">
            <v>0.132699133806498</v>
          </cell>
        </row>
        <row r="203">
          <cell r="B203" t="str">
            <v>D-ELFO</v>
          </cell>
          <cell r="C203" t="str">
            <v>VAR_fout</v>
          </cell>
          <cell r="D203" t="str">
            <v>ELFO</v>
          </cell>
          <cell r="E203">
            <v>0.34979932931507846</v>
          </cell>
          <cell r="F203">
            <v>2.3621105243133602</v>
          </cell>
          <cell r="G203">
            <v>7.7224095238960337E-3</v>
          </cell>
          <cell r="H203">
            <v>4.0045236976231384E-3</v>
          </cell>
          <cell r="I203">
            <v>5.403682694104758E-3</v>
          </cell>
          <cell r="J203">
            <v>1.7704600220484045E-3</v>
          </cell>
        </row>
        <row r="204">
          <cell r="B204" t="str">
            <v>D-ELFO</v>
          </cell>
          <cell r="C204" t="str">
            <v>VAR_fin</v>
          </cell>
          <cell r="D204" t="str">
            <v>LFO</v>
          </cell>
          <cell r="E204">
            <v>0.35574061211589103</v>
          </cell>
          <cell r="F204">
            <v>2.402230574455253</v>
          </cell>
          <cell r="G204">
            <v>7.8535733513824795E-3</v>
          </cell>
          <cell r="H204">
            <v>4.0725398593942919E-3</v>
          </cell>
          <cell r="I204">
            <v>5.4954633362071775E-3</v>
          </cell>
          <cell r="J204">
            <v>1.800530987876494E-3</v>
          </cell>
        </row>
        <row r="205">
          <cell r="B205" t="str">
            <v>EHYD-DAM00</v>
          </cell>
          <cell r="C205" t="str">
            <v>VAR_fout</v>
          </cell>
          <cell r="D205" t="str">
            <v>ELC</v>
          </cell>
          <cell r="E205">
            <v>66.745679999930999</v>
          </cell>
          <cell r="F205">
            <v>49.790361370786506</v>
          </cell>
          <cell r="G205">
            <v>68.503191467107555</v>
          </cell>
          <cell r="H205">
            <v>69.515554031209632</v>
          </cell>
          <cell r="I205">
            <v>70.580819272152112</v>
          </cell>
          <cell r="J205">
            <v>66.294629402796573</v>
          </cell>
        </row>
        <row r="206">
          <cell r="B206" t="str">
            <v>EHYD-DAM00</v>
          </cell>
          <cell r="C206" t="str">
            <v>VAR_fin</v>
          </cell>
          <cell r="D206" t="str">
            <v>HYDD</v>
          </cell>
          <cell r="E206">
            <v>66.745679999930999</v>
          </cell>
          <cell r="F206">
            <v>49.790361370786506</v>
          </cell>
          <cell r="G206">
            <v>68.503191467107555</v>
          </cell>
          <cell r="H206">
            <v>69.515554031209632</v>
          </cell>
          <cell r="I206">
            <v>70.580819272152112</v>
          </cell>
          <cell r="J206">
            <v>66.294629402796573</v>
          </cell>
        </row>
        <row r="207">
          <cell r="B207" t="str">
            <v>EHYD-DAM00</v>
          </cell>
          <cell r="C207" t="str">
            <v>VAR_cap</v>
          </cell>
          <cell r="D207" t="str">
            <v>-</v>
          </cell>
          <cell r="E207">
            <v>7.3394300010600002</v>
          </cell>
          <cell r="F207">
            <v>7.3394300010600002</v>
          </cell>
          <cell r="G207">
            <v>7.3394300010600002</v>
          </cell>
          <cell r="H207">
            <v>7.3394300010600002</v>
          </cell>
          <cell r="I207">
            <v>7.3394300010600002</v>
          </cell>
          <cell r="J207">
            <v>7.3394300010600002</v>
          </cell>
        </row>
        <row r="208">
          <cell r="B208" t="str">
            <v>RHES-SHSTG-CHPWOD</v>
          </cell>
          <cell r="C208" t="str">
            <v>VAR_fout</v>
          </cell>
          <cell r="D208" t="str">
            <v>AUX_RES-CHPWOD_OUT</v>
          </cell>
          <cell r="E208">
            <v>4.7794716404194495E-5</v>
          </cell>
          <cell r="F208">
            <v>5.698607786973628E-5</v>
          </cell>
          <cell r="G208">
            <v>2.7589479223037273E-5</v>
          </cell>
          <cell r="H208">
            <v>4.5292926296260387E-4</v>
          </cell>
          <cell r="I208">
            <v>1.530861133129802E-3</v>
          </cell>
          <cell r="J208">
            <v>1.4530714960983941E-3</v>
          </cell>
        </row>
        <row r="209">
          <cell r="B209" t="str">
            <v>RHES-SHSTG-CHPWOD</v>
          </cell>
          <cell r="C209" t="str">
            <v>VAR_fout</v>
          </cell>
          <cell r="D209" t="str">
            <v>RHES_LTH_CHPWOD</v>
          </cell>
          <cell r="E209">
            <v>4.779471640419438E-5</v>
          </cell>
          <cell r="F209">
            <v>5.7024068588316004E-5</v>
          </cell>
          <cell r="G209">
            <v>2.7618218263894577E-5</v>
          </cell>
          <cell r="H209">
            <v>4.5292926296260387E-4</v>
          </cell>
          <cell r="I209">
            <v>1.5308611331297964E-3</v>
          </cell>
          <cell r="J209">
            <v>1.4530714960983926E-3</v>
          </cell>
        </row>
        <row r="210">
          <cell r="B210" t="str">
            <v>RHES-SHSTG-CHPWOD</v>
          </cell>
          <cell r="C210" t="str">
            <v>VAR_fin</v>
          </cell>
          <cell r="D210" t="str">
            <v>AUX_RES-CHPWOD_IN</v>
          </cell>
          <cell r="E210">
            <v>3.7664111454264767E-5</v>
          </cell>
          <cell r="F210">
            <v>4.3821613746618922E-5</v>
          </cell>
          <cell r="G210">
            <v>2.2079675437011141E-5</v>
          </cell>
          <cell r="H210">
            <v>5.6695189814616508E-4</v>
          </cell>
          <cell r="I210">
            <v>1.8019224799991438E-3</v>
          </cell>
          <cell r="J210">
            <v>1.6153636326167856E-3</v>
          </cell>
        </row>
        <row r="211">
          <cell r="B211" t="str">
            <v>RHES-SHSTG-CHPWOD</v>
          </cell>
          <cell r="C211" t="str">
            <v>VAR_fin</v>
          </cell>
          <cell r="D211" t="str">
            <v>RHES_LTH_CHPWOD</v>
          </cell>
          <cell r="E211">
            <v>3.7664111454264767E-5</v>
          </cell>
          <cell r="F211">
            <v>4.3821613746618922E-5</v>
          </cell>
          <cell r="G211">
            <v>2.2079675437011141E-5</v>
          </cell>
          <cell r="H211">
            <v>5.6695189814616508E-4</v>
          </cell>
          <cell r="I211">
            <v>1.8019224799991438E-3</v>
          </cell>
          <cell r="J211">
            <v>1.6153636326167856E-3</v>
          </cell>
        </row>
        <row r="212">
          <cell r="B212" t="str">
            <v>RHES-SHSTG-CHPWOD</v>
          </cell>
          <cell r="C212" t="str">
            <v>VAR_ncap</v>
          </cell>
          <cell r="D212" t="str">
            <v>-</v>
          </cell>
          <cell r="E212">
            <v>5.9538067993351602E-4</v>
          </cell>
          <cell r="F212">
            <v>1.4526618456804399E-5</v>
          </cell>
          <cell r="G212">
            <v>2.2394469780834699E-5</v>
          </cell>
          <cell r="H212">
            <v>1.7832594226229001E-5</v>
          </cell>
          <cell r="I212">
            <v>4.9220167184377202E-5</v>
          </cell>
          <cell r="J212">
            <v>1.0785246886476199E-4</v>
          </cell>
        </row>
        <row r="213">
          <cell r="B213" t="str">
            <v>RHES-SHSTG-CHPWOD</v>
          </cell>
          <cell r="C213" t="str">
            <v>VAR_cap</v>
          </cell>
          <cell r="D213" t="str">
            <v>-</v>
          </cell>
          <cell r="E213">
            <v>5.9538067993351602E-4</v>
          </cell>
          <cell r="F213">
            <v>6.0816376657325648E-4</v>
          </cell>
          <cell r="G213">
            <v>6.2586719936943058E-4</v>
          </cell>
          <cell r="H213">
            <v>6.3644678869915366E-4</v>
          </cell>
          <cell r="I213">
            <v>8.2484163983256897E-4</v>
          </cell>
          <cell r="J213">
            <v>4.6376774310079782E-4</v>
          </cell>
        </row>
        <row r="214">
          <cell r="B214" t="str">
            <v>G-INTC-IND</v>
          </cell>
          <cell r="C214" t="str">
            <v>VAR_fout</v>
          </cell>
          <cell r="D214" t="str">
            <v>ELC35</v>
          </cell>
          <cell r="E214">
            <v>1.8536313959318235E-3</v>
          </cell>
          <cell r="F214">
            <v>7.2038791721667551E-4</v>
          </cell>
          <cell r="G214">
            <v>7.5300731711776486E-4</v>
          </cell>
          <cell r="H214">
            <v>3.2820979049749568E-4</v>
          </cell>
          <cell r="I214">
            <v>4.8071977860416243E-4</v>
          </cell>
          <cell r="J214">
            <v>3.2901826105686491E-4</v>
          </cell>
        </row>
        <row r="215">
          <cell r="B215" t="str">
            <v>G-INTC-IND</v>
          </cell>
          <cell r="C215" t="str">
            <v>VAR_fout</v>
          </cell>
          <cell r="D215" t="str">
            <v>ITOT_ELC</v>
          </cell>
          <cell r="E215">
            <v>55.816511974071091</v>
          </cell>
          <cell r="F215">
            <v>57.405965820137119</v>
          </cell>
          <cell r="G215">
            <v>55.968776467887515</v>
          </cell>
          <cell r="H215">
            <v>55.168861597833278</v>
          </cell>
          <cell r="I215">
            <v>43.390770556569159</v>
          </cell>
          <cell r="J215">
            <v>34.286794713588996</v>
          </cell>
        </row>
        <row r="216">
          <cell r="B216" t="str">
            <v>G-INTC-IND</v>
          </cell>
          <cell r="C216" t="str">
            <v>VAR_fout</v>
          </cell>
          <cell r="D216" t="str">
            <v>ELC13</v>
          </cell>
          <cell r="E216">
            <v>1.7602550934101477E-3</v>
          </cell>
          <cell r="F216">
            <v>4.9270316770913189E-4</v>
          </cell>
          <cell r="G216">
            <v>6.9433720591258652E-4</v>
          </cell>
          <cell r="H216">
            <v>2.7010659966844803E-4</v>
          </cell>
          <cell r="I216">
            <v>3.6016998876752302E-4</v>
          </cell>
          <cell r="J216">
            <v>2.6419445964603004E-4</v>
          </cell>
        </row>
        <row r="217">
          <cell r="B217" t="str">
            <v>G-INTC-IND</v>
          </cell>
          <cell r="C217" t="str">
            <v>VAR_fin</v>
          </cell>
          <cell r="D217" t="str">
            <v>ELC3</v>
          </cell>
          <cell r="E217">
            <v>25.750164332947847</v>
          </cell>
          <cell r="F217">
            <v>57.405642685657106</v>
          </cell>
          <cell r="G217">
            <v>55.943363311106076</v>
          </cell>
          <cell r="H217">
            <v>25.276318984739127</v>
          </cell>
          <cell r="I217">
            <v>19.708344978395122</v>
          </cell>
          <cell r="J217">
            <v>15.472981566244632</v>
          </cell>
        </row>
        <row r="218">
          <cell r="B218" t="str">
            <v>G-INTC-IND</v>
          </cell>
          <cell r="C218" t="str">
            <v>VAR_fin</v>
          </cell>
          <cell r="D218" t="str">
            <v>ELC5</v>
          </cell>
          <cell r="E218">
            <v>30.069934020656945</v>
          </cell>
          <cell r="F218">
            <v>1.5176056895975358E-3</v>
          </cell>
          <cell r="G218">
            <v>2.6845406896162754E-2</v>
          </cell>
          <cell r="H218">
            <v>29.893135004999316</v>
          </cell>
          <cell r="I218">
            <v>23.683266467941408</v>
          </cell>
          <cell r="J218">
            <v>18.81437619979004</v>
          </cell>
        </row>
        <row r="219">
          <cell r="B219" t="str">
            <v>G-INTC-IND</v>
          </cell>
          <cell r="C219" t="str">
            <v>VAR_ncap</v>
          </cell>
          <cell r="D219" t="str">
            <v>-</v>
          </cell>
          <cell r="E219">
            <v>1.1971990404349499E-7</v>
          </cell>
          <cell r="F219">
            <v>1.11749659156205E-7</v>
          </cell>
          <cell r="G219">
            <v>1.2287985681747899E-7</v>
          </cell>
          <cell r="H219">
            <v>1.4362746843162099E-7</v>
          </cell>
          <cell r="I219">
            <v>2.7586342065924601E-7</v>
          </cell>
          <cell r="J219">
            <v>4.7937816395533299E-7</v>
          </cell>
        </row>
        <row r="220">
          <cell r="B220" t="str">
            <v>G-INTC-IND</v>
          </cell>
          <cell r="C220" t="str">
            <v>VAR_cap</v>
          </cell>
          <cell r="D220" t="str">
            <v>-</v>
          </cell>
          <cell r="E220">
            <v>4.4927373631622096</v>
          </cell>
          <cell r="F220">
            <v>4.4927374020875996</v>
          </cell>
          <cell r="G220">
            <v>4.4927375946317731</v>
          </cell>
          <cell r="H220">
            <v>4.4927377965339321</v>
          </cell>
          <cell r="I220">
            <v>4.4927382070899258</v>
          </cell>
          <cell r="J220">
            <v>4.4927387048507237</v>
          </cell>
        </row>
        <row r="221">
          <cell r="B221" t="str">
            <v>D-IH2R</v>
          </cell>
          <cell r="C221" t="str">
            <v>VAR_fout</v>
          </cell>
          <cell r="D221" t="str">
            <v>IH2</v>
          </cell>
          <cell r="E221"/>
          <cell r="F221"/>
          <cell r="G221"/>
          <cell r="H221">
            <v>0.31374374306864539</v>
          </cell>
          <cell r="I221">
            <v>2.6736358281243482</v>
          </cell>
          <cell r="J221">
            <v>6.7478668184012491</v>
          </cell>
        </row>
        <row r="222">
          <cell r="B222" t="str">
            <v>D-IH2R</v>
          </cell>
          <cell r="C222" t="str">
            <v>VAR_fin</v>
          </cell>
          <cell r="D222" t="str">
            <v>H2</v>
          </cell>
          <cell r="E222"/>
          <cell r="F222"/>
          <cell r="G222"/>
          <cell r="H222">
            <v>0.31374374306864539</v>
          </cell>
          <cell r="I222">
            <v>2.6736358281243482</v>
          </cell>
          <cell r="J222">
            <v>6.7478668184012491</v>
          </cell>
        </row>
        <row r="223">
          <cell r="B223" t="str">
            <v>D-IH2R</v>
          </cell>
          <cell r="C223" t="str">
            <v>VAR_ncap</v>
          </cell>
          <cell r="D223" t="str">
            <v>-</v>
          </cell>
          <cell r="E223"/>
          <cell r="F223"/>
          <cell r="G223"/>
          <cell r="H223">
            <v>1.1081204941969999E-2</v>
          </cell>
          <cell r="I223">
            <v>8.7489818725232996E-2</v>
          </cell>
          <cell r="J223">
            <v>0.20778244825585099</v>
          </cell>
        </row>
        <row r="224">
          <cell r="B224" t="str">
            <v>D-IH2R</v>
          </cell>
          <cell r="C224" t="str">
            <v>VAR_cap</v>
          </cell>
          <cell r="D224" t="str">
            <v>-</v>
          </cell>
          <cell r="E224"/>
          <cell r="F224"/>
          <cell r="G224"/>
          <cell r="H224">
            <v>1.1081204941969999E-2</v>
          </cell>
          <cell r="I224">
            <v>9.42291399539536E-2</v>
          </cell>
          <cell r="J224">
            <v>0.237749570043054</v>
          </cell>
        </row>
        <row r="225">
          <cell r="B225" t="str">
            <v>ESOL-PV_E</v>
          </cell>
          <cell r="C225" t="str">
            <v>VAR_fout</v>
          </cell>
          <cell r="D225" t="str">
            <v>CELC_E</v>
          </cell>
          <cell r="E225"/>
          <cell r="F225"/>
          <cell r="G225"/>
          <cell r="H225">
            <v>1.7232570074990821E-7</v>
          </cell>
          <cell r="I225">
            <v>0.10552248749119486</v>
          </cell>
          <cell r="J225">
            <v>1.0967320003651699</v>
          </cell>
        </row>
        <row r="226">
          <cell r="B226" t="str">
            <v>ESOL-PV_E</v>
          </cell>
          <cell r="C226" t="str">
            <v>VAR_fin</v>
          </cell>
          <cell r="D226" t="str">
            <v>SOL</v>
          </cell>
          <cell r="E226"/>
          <cell r="F226"/>
          <cell r="G226"/>
          <cell r="H226">
            <v>1.7232570074990821E-7</v>
          </cell>
          <cell r="I226">
            <v>0.10552248749119486</v>
          </cell>
          <cell r="J226">
            <v>1.0967320003651699</v>
          </cell>
        </row>
        <row r="227">
          <cell r="B227" t="str">
            <v>ESOL-PV_E</v>
          </cell>
          <cell r="C227" t="str">
            <v>VAR_fin</v>
          </cell>
          <cell r="D227" t="str">
            <v>SOLPVC</v>
          </cell>
          <cell r="E227"/>
          <cell r="F227"/>
          <cell r="G227"/>
          <cell r="H227">
            <v>1.7232570074990799E-7</v>
          </cell>
          <cell r="I227">
            <v>0.105522487491195</v>
          </cell>
          <cell r="J227">
            <v>1.0967320003651699</v>
          </cell>
        </row>
        <row r="228">
          <cell r="B228" t="str">
            <v>ESOL-PV_E</v>
          </cell>
          <cell r="C228" t="str">
            <v>VAR_ncap</v>
          </cell>
          <cell r="D228" t="str">
            <v>-</v>
          </cell>
          <cell r="E228"/>
          <cell r="F228"/>
          <cell r="G228"/>
          <cell r="H228">
            <v>1.4120080792542599E-7</v>
          </cell>
          <cell r="I228">
            <v>3.0411846769374501E-2</v>
          </cell>
          <cell r="J228">
            <v>0.28577278353616398</v>
          </cell>
        </row>
        <row r="229">
          <cell r="B229" t="str">
            <v>ESOL-PV_E</v>
          </cell>
          <cell r="C229" t="str">
            <v>VAR_cap</v>
          </cell>
          <cell r="D229" t="str">
            <v>-</v>
          </cell>
          <cell r="E229"/>
          <cell r="F229"/>
          <cell r="G229"/>
          <cell r="H229">
            <v>1.4120080792542599E-7</v>
          </cell>
          <cell r="I229">
            <v>3.04190557086838E-2</v>
          </cell>
          <cell r="J229">
            <v>0.31619183924484801</v>
          </cell>
        </row>
        <row r="230">
          <cell r="B230" t="str">
            <v>EWSTINC</v>
          </cell>
          <cell r="C230" t="str">
            <v>VAR_fout</v>
          </cell>
          <cell r="D230" t="str">
            <v>ELC35</v>
          </cell>
          <cell r="E230">
            <v>6.5070001123384849</v>
          </cell>
          <cell r="F230">
            <v>7.3027687840943667</v>
          </cell>
          <cell r="G230">
            <v>7.4118134631130301</v>
          </cell>
          <cell r="H230">
            <v>7.398139031785969</v>
          </cell>
          <cell r="I230">
            <v>7.6680317952603847</v>
          </cell>
          <cell r="J230">
            <v>8.0332798381494221</v>
          </cell>
        </row>
        <row r="231">
          <cell r="B231" t="str">
            <v>EWSTINC</v>
          </cell>
          <cell r="C231" t="str">
            <v>VAR_fout</v>
          </cell>
          <cell r="D231" t="str">
            <v>CO2_E</v>
          </cell>
          <cell r="E231">
            <v>1689.2932255841899</v>
          </cell>
          <cell r="F231">
            <v>1895.88406669703</v>
          </cell>
          <cell r="G231">
            <v>1924.1933389226399</v>
          </cell>
          <cell r="H231">
            <v>1920.6432968439999</v>
          </cell>
          <cell r="I231">
            <v>1990.71061036794</v>
          </cell>
          <cell r="J231">
            <v>2085.5332680993201</v>
          </cell>
        </row>
        <row r="232">
          <cell r="B232" t="str">
            <v>EWSTINC</v>
          </cell>
          <cell r="C232" t="str">
            <v>VAR_fin</v>
          </cell>
          <cell r="D232" t="str">
            <v>EWST</v>
          </cell>
          <cell r="E232">
            <v>18.203590792933127</v>
          </cell>
          <cell r="F232">
            <v>20.429785201476637</v>
          </cell>
          <cell r="G232">
            <v>20.734842014252589</v>
          </cell>
          <cell r="H232">
            <v>20.696587250474163</v>
          </cell>
          <cell r="I232">
            <v>21.451622956551038</v>
          </cell>
          <cell r="J232">
            <v>22.473418837277165</v>
          </cell>
        </row>
        <row r="233">
          <cell r="B233" t="str">
            <v>EWSTINC</v>
          </cell>
          <cell r="C233" t="str">
            <v>VAR_ncap</v>
          </cell>
          <cell r="D233" t="str">
            <v>-</v>
          </cell>
          <cell r="E233"/>
          <cell r="F233">
            <v>9.5704535370383304E-8</v>
          </cell>
          <cell r="G233">
            <v>3.2174933613121901E-7</v>
          </cell>
          <cell r="H233">
            <v>6.7314745133175993E-2</v>
          </cell>
          <cell r="I233">
            <v>5.65579814975034E-2</v>
          </cell>
          <cell r="J233">
            <v>9.2464374400140201E-2</v>
          </cell>
        </row>
        <row r="234">
          <cell r="B234" t="str">
            <v>EWSTINC</v>
          </cell>
          <cell r="C234" t="str">
            <v>VAR_cap</v>
          </cell>
          <cell r="D234" t="str">
            <v>-</v>
          </cell>
          <cell r="E234">
            <v>0.27650330230654618</v>
          </cell>
          <cell r="F234">
            <v>0.27650236307785675</v>
          </cell>
          <cell r="G234">
            <v>0.27650242428298366</v>
          </cell>
          <cell r="H234">
            <v>0.2759923293337761</v>
          </cell>
          <cell r="I234">
            <v>0.30324275499713516</v>
          </cell>
          <cell r="J234">
            <v>0.31818832624875659</v>
          </cell>
        </row>
        <row r="235">
          <cell r="B235" t="str">
            <v>D-IBIO</v>
          </cell>
          <cell r="C235" t="str">
            <v>VAR_fout</v>
          </cell>
          <cell r="D235" t="str">
            <v>IBIO</v>
          </cell>
          <cell r="E235">
            <v>0.43672591874092204</v>
          </cell>
          <cell r="F235">
            <v>0.5520652427091518</v>
          </cell>
          <cell r="G235">
            <v>2.4035812880047565</v>
          </cell>
          <cell r="H235">
            <v>5.7740959704200439</v>
          </cell>
          <cell r="I235">
            <v>8.2782243240511413</v>
          </cell>
          <cell r="J235">
            <v>9.0481726667279023</v>
          </cell>
        </row>
        <row r="236">
          <cell r="B236" t="str">
            <v>D-IBIO</v>
          </cell>
          <cell r="C236" t="str">
            <v>VAR_fin</v>
          </cell>
          <cell r="D236" t="str">
            <v>BIO</v>
          </cell>
          <cell r="E236">
            <v>0.43672591874092204</v>
          </cell>
          <cell r="F236">
            <v>0.5520652427091518</v>
          </cell>
          <cell r="G236">
            <v>2.4035812880047565</v>
          </cell>
          <cell r="H236">
            <v>5.7740959704200439</v>
          </cell>
          <cell r="I236">
            <v>8.2782243240511413</v>
          </cell>
          <cell r="J236">
            <v>9.0481726667279023</v>
          </cell>
        </row>
        <row r="237">
          <cell r="B237" t="str">
            <v>D-EWOD</v>
          </cell>
          <cell r="C237" t="str">
            <v>VAR_fout</v>
          </cell>
          <cell r="D237" t="str">
            <v>EWOD</v>
          </cell>
          <cell r="E237">
            <v>3.9493720017105232</v>
          </cell>
          <cell r="F237">
            <v>2.2992264686597208</v>
          </cell>
          <cell r="G237">
            <v>1.7064484455320632</v>
          </cell>
          <cell r="H237">
            <v>1.3406441820098998</v>
          </cell>
          <cell r="I237">
            <v>0.80167014523703894</v>
          </cell>
          <cell r="J237">
            <v>0.48095689871189984</v>
          </cell>
        </row>
        <row r="238">
          <cell r="B238" t="str">
            <v>D-EWOD</v>
          </cell>
          <cell r="C238" t="str">
            <v>VAR_fin</v>
          </cell>
          <cell r="D238" t="str">
            <v>WOD</v>
          </cell>
          <cell r="E238">
            <v>3.9493720017105232</v>
          </cell>
          <cell r="F238">
            <v>2.2992264686597208</v>
          </cell>
          <cell r="G238">
            <v>1.7064484455320632</v>
          </cell>
          <cell r="H238">
            <v>1.3406441820098998</v>
          </cell>
          <cell r="I238">
            <v>0.80167014523703894</v>
          </cell>
          <cell r="J238">
            <v>0.48095689871189984</v>
          </cell>
        </row>
        <row r="239">
          <cell r="B239" t="str">
            <v>HPLWOD</v>
          </cell>
          <cell r="C239" t="str">
            <v>VAR_fout</v>
          </cell>
          <cell r="D239" t="str">
            <v>LTH</v>
          </cell>
          <cell r="E239">
            <v>1.5380996049886206</v>
          </cell>
          <cell r="F239">
            <v>1.3881343211872947</v>
          </cell>
          <cell r="G239">
            <v>1.1901522151875938</v>
          </cell>
          <cell r="H239">
            <v>0.92091751758345919</v>
          </cell>
          <cell r="I239">
            <v>0.55138951008674575</v>
          </cell>
          <cell r="J239">
            <v>0.33013840098906067</v>
          </cell>
        </row>
        <row r="240">
          <cell r="B240" t="str">
            <v>HPLWOD</v>
          </cell>
          <cell r="C240" t="str">
            <v>VAR_fin</v>
          </cell>
          <cell r="D240" t="str">
            <v>EWOD</v>
          </cell>
          <cell r="E240">
            <v>2.1972851499837467</v>
          </cell>
          <cell r="F240">
            <v>1.9830490302675643</v>
          </cell>
          <cell r="G240">
            <v>1.7002174502679912</v>
          </cell>
          <cell r="H240">
            <v>1.3155964536906561</v>
          </cell>
          <cell r="I240">
            <v>0.78769930012392286</v>
          </cell>
          <cell r="J240">
            <v>0.47162628712722943</v>
          </cell>
        </row>
        <row r="241">
          <cell r="B241" t="str">
            <v>HPLWOD</v>
          </cell>
          <cell r="C241" t="str">
            <v>VAR_ncap</v>
          </cell>
          <cell r="D241" t="str">
            <v>-</v>
          </cell>
          <cell r="E241">
            <v>0.195091645156176</v>
          </cell>
          <cell r="F241">
            <v>3.4345990122455901E-7</v>
          </cell>
          <cell r="G241">
            <v>3.4296961467749701E-7</v>
          </cell>
          <cell r="H241">
            <v>3.7945956787745398E-7</v>
          </cell>
          <cell r="I241">
            <v>1.6730920636159701E-3</v>
          </cell>
          <cell r="J241">
            <v>4.0307694900933402E-2</v>
          </cell>
        </row>
        <row r="242">
          <cell r="B242" t="str">
            <v>HPLWOD</v>
          </cell>
          <cell r="C242" t="str">
            <v>VAR_cap</v>
          </cell>
          <cell r="D242" t="str">
            <v>-</v>
          </cell>
          <cell r="E242">
            <v>0.195091645156176</v>
          </cell>
          <cell r="F242">
            <v>0.19509198861607799</v>
          </cell>
          <cell r="G242">
            <v>0.195092331585692</v>
          </cell>
          <cell r="H242">
            <v>0.19509271104525999</v>
          </cell>
          <cell r="I242">
            <v>6.9943289661630603E-2</v>
          </cell>
          <cell r="J242">
            <v>4.1982548952252702E-2</v>
          </cell>
        </row>
        <row r="243">
          <cell r="B243" t="str">
            <v>ENGA-GTCC</v>
          </cell>
          <cell r="C243" t="str">
            <v>VAR_fout</v>
          </cell>
          <cell r="D243" t="str">
            <v>ELC13</v>
          </cell>
          <cell r="E243"/>
          <cell r="F243"/>
          <cell r="G243"/>
          <cell r="H243"/>
          <cell r="I243">
            <v>1.3478170840241483E-2</v>
          </cell>
          <cell r="J243">
            <v>2.308464398441846E-3</v>
          </cell>
        </row>
        <row r="244">
          <cell r="B244" t="str">
            <v>ENGA-GTCC</v>
          </cell>
          <cell r="C244" t="str">
            <v>VAR_fout</v>
          </cell>
          <cell r="D244" t="str">
            <v>CO2_E</v>
          </cell>
          <cell r="E244"/>
          <cell r="F244"/>
          <cell r="G244"/>
          <cell r="H244"/>
          <cell r="I244">
            <v>1.2402481853698499</v>
          </cell>
          <cell r="J244">
            <v>0.216982741817771</v>
          </cell>
        </row>
        <row r="245">
          <cell r="B245" t="str">
            <v>ENGA-GTCC</v>
          </cell>
          <cell r="C245" t="str">
            <v>VAR_fin</v>
          </cell>
          <cell r="D245" t="str">
            <v>ENGA</v>
          </cell>
          <cell r="E245"/>
          <cell r="F245"/>
          <cell r="G245"/>
          <cell r="H245"/>
          <cell r="I245">
            <v>2.199021605265692E-2</v>
          </cell>
          <cell r="J245">
            <v>3.8472117343576529E-3</v>
          </cell>
        </row>
        <row r="246">
          <cell r="B246" t="str">
            <v>ENGA-GTCC</v>
          </cell>
          <cell r="C246" t="str">
            <v>VAR_fin</v>
          </cell>
          <cell r="D246" t="str">
            <v>GTC</v>
          </cell>
          <cell r="E246"/>
          <cell r="F246"/>
          <cell r="G246"/>
          <cell r="H246"/>
          <cell r="I246">
            <v>1.2280689545260701E-3</v>
          </cell>
          <cell r="J246">
            <v>2.8493224144825739E-4</v>
          </cell>
        </row>
        <row r="247">
          <cell r="B247" t="str">
            <v>ENGA-GTCC</v>
          </cell>
          <cell r="C247" t="str">
            <v>VAR_ncap</v>
          </cell>
          <cell r="D247" t="str">
            <v>-</v>
          </cell>
          <cell r="E247"/>
          <cell r="F247"/>
          <cell r="G247"/>
          <cell r="H247"/>
          <cell r="I247">
            <v>1.2280689545260701E-3</v>
          </cell>
          <cell r="J247">
            <v>1.05294466846395E-7</v>
          </cell>
        </row>
        <row r="248">
          <cell r="B248" t="str">
            <v>ENGA-GTCC</v>
          </cell>
          <cell r="C248" t="str">
            <v>VAR_cap</v>
          </cell>
          <cell r="D248" t="str">
            <v>-</v>
          </cell>
          <cell r="E248"/>
          <cell r="F248"/>
          <cell r="G248"/>
          <cell r="H248"/>
          <cell r="I248">
            <v>1.2280689545260701E-3</v>
          </cell>
          <cell r="J248">
            <v>2.8493224144825592E-4</v>
          </cell>
        </row>
        <row r="249">
          <cell r="B249" t="str">
            <v>D-SNGA</v>
          </cell>
          <cell r="C249" t="str">
            <v>VAR_fout</v>
          </cell>
          <cell r="D249" t="str">
            <v>CO2</v>
          </cell>
          <cell r="E249">
            <v>1521.9392627894199</v>
          </cell>
          <cell r="F249">
            <v>1512.9595828792901</v>
          </cell>
          <cell r="G249">
            <v>1355.8761448857999</v>
          </cell>
          <cell r="H249">
            <v>1285.57585731616</v>
          </cell>
          <cell r="I249">
            <v>952.49832642216495</v>
          </cell>
          <cell r="J249">
            <v>675.06957809255198</v>
          </cell>
        </row>
        <row r="250">
          <cell r="B250" t="str">
            <v>D-SNGA</v>
          </cell>
          <cell r="C250" t="str">
            <v>VAR_fout</v>
          </cell>
          <cell r="D250" t="str">
            <v>SNGA</v>
          </cell>
          <cell r="E250">
            <v>27.205353045569371</v>
          </cell>
          <cell r="F250">
            <v>28.488357531009193</v>
          </cell>
          <cell r="G250">
            <v>25.13987437278983</v>
          </cell>
          <cell r="H250">
            <v>22.722581474555138</v>
          </cell>
          <cell r="I250">
            <v>16.835221181332138</v>
          </cell>
          <cell r="J250">
            <v>11.952521036932387</v>
          </cell>
        </row>
        <row r="251">
          <cell r="B251" t="str">
            <v>D-SNGA</v>
          </cell>
          <cell r="C251" t="str">
            <v>VAR_fin</v>
          </cell>
          <cell r="D251" t="str">
            <v>NGA</v>
          </cell>
          <cell r="E251">
            <v>26.984738701940028</v>
          </cell>
          <cell r="F251">
            <v>26.825524519136362</v>
          </cell>
          <cell r="G251">
            <v>24.040357178826206</v>
          </cell>
          <cell r="H251">
            <v>22.793898179364451</v>
          </cell>
          <cell r="I251">
            <v>16.888268198974551</v>
          </cell>
          <cell r="J251">
            <v>11.969318760506235</v>
          </cell>
        </row>
        <row r="252">
          <cell r="B252" t="str">
            <v>D-SNGA</v>
          </cell>
          <cell r="C252" t="str">
            <v>VAR_fin</v>
          </cell>
          <cell r="D252" t="str">
            <v>BNGA</v>
          </cell>
          <cell r="E252">
            <v>0.30752509736887812</v>
          </cell>
          <cell r="F252">
            <v>1.7538424768731116</v>
          </cell>
          <cell r="G252">
            <v>1.1649231633435373</v>
          </cell>
          <cell r="H252">
            <v>9.9984362932693349E-4</v>
          </cell>
          <cell r="I252">
            <v>1.033177888613964E-4</v>
          </cell>
          <cell r="J252">
            <v>3.9216410862240814E-5</v>
          </cell>
        </row>
        <row r="253">
          <cell r="B253" t="str">
            <v>D-SNGA</v>
          </cell>
          <cell r="C253" t="str">
            <v>VAR_fin</v>
          </cell>
          <cell r="D253" t="str">
            <v>H2</v>
          </cell>
          <cell r="E253"/>
          <cell r="F253"/>
          <cell r="G253">
            <v>1.4906365732836841E-2</v>
          </cell>
          <cell r="H253">
            <v>2.7967180600012574E-4</v>
          </cell>
          <cell r="I253">
            <v>6.4821894679003309E-4</v>
          </cell>
          <cell r="J253">
            <v>2.1361133084862875E-2</v>
          </cell>
        </row>
        <row r="254">
          <cell r="B254" t="str">
            <v>D-SNGA</v>
          </cell>
          <cell r="C254" t="str">
            <v>VAR_ncap</v>
          </cell>
          <cell r="D254" t="str">
            <v>-</v>
          </cell>
          <cell r="E254">
            <v>6.50278669428246E-8</v>
          </cell>
          <cell r="F254">
            <v>6.1065353919290795E-8</v>
          </cell>
          <cell r="G254">
            <v>7.1289430468253996E-8</v>
          </cell>
          <cell r="H254">
            <v>8.3914678223777294E-8</v>
          </cell>
          <cell r="I254">
            <v>1.6926902346339199E-7</v>
          </cell>
          <cell r="J254">
            <v>2.8579488201742002E-7</v>
          </cell>
        </row>
        <row r="255">
          <cell r="B255" t="str">
            <v>D-SNGA</v>
          </cell>
          <cell r="C255" t="str">
            <v>VAR_cap</v>
          </cell>
          <cell r="D255" t="str">
            <v>-</v>
          </cell>
          <cell r="E255">
            <v>2.2350522666530073</v>
          </cell>
          <cell r="F255">
            <v>2.2350523277183609</v>
          </cell>
          <cell r="G255">
            <v>2.2350523990077913</v>
          </cell>
          <cell r="H255">
            <v>2.2350524829224696</v>
          </cell>
          <cell r="I255">
            <v>2.2350527804463534</v>
          </cell>
          <cell r="J255">
            <v>1.1208913671049554</v>
          </cell>
        </row>
        <row r="256">
          <cell r="B256" t="str">
            <v>RHES-CHPWOD</v>
          </cell>
          <cell r="C256" t="str">
            <v>VAR_fout</v>
          </cell>
          <cell r="D256" t="str">
            <v>RHES_KEV_WOD_ELC_CHP</v>
          </cell>
          <cell r="E256"/>
          <cell r="F256"/>
          <cell r="G256"/>
          <cell r="H256">
            <v>1.9908981521493991E-4</v>
          </cell>
          <cell r="I256">
            <v>2.3368585393306019E-4</v>
          </cell>
          <cell r="J256">
            <v>1.3074638275987251E-4</v>
          </cell>
        </row>
        <row r="257">
          <cell r="B257" t="str">
            <v>RHES-CHPWOD</v>
          </cell>
          <cell r="C257" t="str">
            <v>VAR_fout</v>
          </cell>
          <cell r="D257" t="str">
            <v>RHES_LTH_CHPWOD</v>
          </cell>
          <cell r="E257"/>
          <cell r="F257"/>
          <cell r="G257"/>
          <cell r="H257">
            <v>5.3745645887994539E-4</v>
          </cell>
          <cell r="I257">
            <v>6.0478259641585941E-4</v>
          </cell>
          <cell r="J257">
            <v>3.2494613032448428E-4</v>
          </cell>
        </row>
        <row r="258">
          <cell r="B258" t="str">
            <v>RHES-CHPWOD</v>
          </cell>
          <cell r="C258" t="str">
            <v>VAR_fin</v>
          </cell>
          <cell r="D258" t="str">
            <v>RWOD</v>
          </cell>
          <cell r="E258"/>
          <cell r="F258"/>
          <cell r="G258"/>
          <cell r="H258">
            <v>1.1344439848108515E-3</v>
          </cell>
          <cell r="I258">
            <v>1.1608848431967202E-3</v>
          </cell>
          <cell r="J258">
            <v>6.199421628337356E-4</v>
          </cell>
        </row>
        <row r="259">
          <cell r="B259" t="str">
            <v>RHES-CHPWOD</v>
          </cell>
          <cell r="C259" t="str">
            <v>VAR_ncap</v>
          </cell>
          <cell r="D259" t="str">
            <v>-</v>
          </cell>
          <cell r="E259"/>
          <cell r="F259"/>
          <cell r="G259"/>
          <cell r="H259">
            <v>1.7710566488392001E-5</v>
          </cell>
          <cell r="I259">
            <v>5.3926547790392096E-6</v>
          </cell>
          <cell r="J259">
            <v>6.3286386140295796E-6</v>
          </cell>
        </row>
        <row r="260">
          <cell r="B260" t="str">
            <v>RHES-CHPWOD</v>
          </cell>
          <cell r="C260" t="str">
            <v>VAR_cap</v>
          </cell>
          <cell r="D260" t="str">
            <v>-</v>
          </cell>
          <cell r="E260"/>
          <cell r="F260"/>
          <cell r="G260"/>
          <cell r="H260">
            <v>1.7710566488392001E-5</v>
          </cell>
          <cell r="I260">
            <v>2.0818722831206704E-5</v>
          </cell>
          <cell r="J260">
            <v>1.1647980909347861E-5</v>
          </cell>
        </row>
        <row r="261">
          <cell r="B261" t="str">
            <v>G-INTC-RES</v>
          </cell>
          <cell r="C261" t="str">
            <v>VAR_fout</v>
          </cell>
          <cell r="D261" t="str">
            <v>RHNS_ELC</v>
          </cell>
          <cell r="E261">
            <v>14.36120909939001</v>
          </cell>
          <cell r="F261">
            <v>14.825996708843046</v>
          </cell>
          <cell r="G261">
            <v>15.476060373300829</v>
          </cell>
          <cell r="H261">
            <v>16.039181710452102</v>
          </cell>
          <cell r="I261">
            <v>18.377403229735716</v>
          </cell>
          <cell r="J261">
            <v>19.100118008543713</v>
          </cell>
        </row>
        <row r="262">
          <cell r="B262" t="str">
            <v>G-INTC-RES</v>
          </cell>
          <cell r="C262" t="str">
            <v>VAR_fout</v>
          </cell>
          <cell r="D262" t="str">
            <v>ELC35</v>
          </cell>
          <cell r="E262">
            <v>48.719701903628383</v>
          </cell>
          <cell r="F262">
            <v>1.6286618457025473E-3</v>
          </cell>
          <cell r="G262">
            <v>7.1353129729504167E-2</v>
          </cell>
          <cell r="H262">
            <v>1.3319394142112793E-3</v>
          </cell>
          <cell r="I262">
            <v>1.2863938725733734E-3</v>
          </cell>
          <cell r="J262">
            <v>8.7657574072841055E-2</v>
          </cell>
        </row>
        <row r="263">
          <cell r="B263" t="str">
            <v>G-INTC-RES</v>
          </cell>
          <cell r="C263" t="str">
            <v>VAR_fout</v>
          </cell>
          <cell r="D263" t="str">
            <v>RHES_ELC</v>
          </cell>
          <cell r="E263">
            <v>21.566820281032516</v>
          </cell>
          <cell r="F263">
            <v>19.13754154029705</v>
          </cell>
          <cell r="G263">
            <v>18.596338138655874</v>
          </cell>
          <cell r="H263">
            <v>18.759616853732517</v>
          </cell>
          <cell r="I263">
            <v>21.296559703796472</v>
          </cell>
          <cell r="J263">
            <v>23.344323121743464</v>
          </cell>
        </row>
        <row r="264">
          <cell r="B264" t="str">
            <v>G-INTC-RES</v>
          </cell>
          <cell r="C264" t="str">
            <v>VAR_fout</v>
          </cell>
          <cell r="D264" t="str">
            <v>RHNM_ELC</v>
          </cell>
          <cell r="E264">
            <v>10.00394486342425</v>
          </cell>
          <cell r="F264">
            <v>14.859670704121847</v>
          </cell>
          <cell r="G264">
            <v>15.003551212426263</v>
          </cell>
          <cell r="H264">
            <v>15.434888265305904</v>
          </cell>
          <cell r="I264">
            <v>17.291562628673848</v>
          </cell>
          <cell r="J264">
            <v>17.945468596102284</v>
          </cell>
        </row>
        <row r="265">
          <cell r="B265" t="str">
            <v>G-INTC-RES</v>
          </cell>
          <cell r="C265" t="str">
            <v>VAR_fout</v>
          </cell>
          <cell r="D265" t="str">
            <v>RHEM_ELC</v>
          </cell>
          <cell r="E265">
            <v>22.638787271966805</v>
          </cell>
          <cell r="F265">
            <v>17.836504855795415</v>
          </cell>
          <cell r="G265">
            <v>16.584148531209301</v>
          </cell>
          <cell r="H265">
            <v>17.386863313529265</v>
          </cell>
          <cell r="I265">
            <v>19.470037136330685</v>
          </cell>
          <cell r="J265">
            <v>20.539799918285841</v>
          </cell>
        </row>
        <row r="266">
          <cell r="B266" t="str">
            <v>G-INTC-RES</v>
          </cell>
          <cell r="C266" t="str">
            <v>VAR_fin</v>
          </cell>
          <cell r="D266" t="str">
            <v>ELC5</v>
          </cell>
          <cell r="E266">
            <v>117.29045383870469</v>
          </cell>
          <cell r="F266">
            <v>66.66134247090308</v>
          </cell>
          <cell r="G266">
            <v>65.731451385321762</v>
          </cell>
          <cell r="H266">
            <v>67.621882082433999</v>
          </cell>
          <cell r="I266">
            <v>76.436849092409219</v>
          </cell>
          <cell r="J266">
            <v>81.01736721874812</v>
          </cell>
        </row>
        <row r="267">
          <cell r="B267" t="str">
            <v>G-INTC-RES</v>
          </cell>
          <cell r="C267" t="str">
            <v>VAR_ncap</v>
          </cell>
          <cell r="D267" t="str">
            <v>-</v>
          </cell>
          <cell r="E267">
            <v>2.34494804303306E-8</v>
          </cell>
          <cell r="F267">
            <v>2.3359494133730799E-8</v>
          </cell>
          <cell r="G267">
            <v>1.6652002930236802E-8</v>
          </cell>
          <cell r="H267">
            <v>2.58641225220269E-8</v>
          </cell>
          <cell r="I267">
            <v>3.8756419112753999E-8</v>
          </cell>
          <cell r="J267">
            <v>7.17626753372649E-8</v>
          </cell>
        </row>
        <row r="268">
          <cell r="B268" t="str">
            <v>G-INTC-RES</v>
          </cell>
          <cell r="C268" t="str">
            <v>VAR_cap</v>
          </cell>
          <cell r="D268" t="str">
            <v>-</v>
          </cell>
          <cell r="E268">
            <v>4.3300925142827298</v>
          </cell>
          <cell r="F268">
            <v>4.3300925219070274</v>
          </cell>
          <cell r="G268">
            <v>4.3300925610917043</v>
          </cell>
          <cell r="H268">
            <v>4.3300925919738722</v>
          </cell>
          <cell r="I268">
            <v>4.330092661373504</v>
          </cell>
          <cell r="J268">
            <v>4.3300927345709299</v>
          </cell>
        </row>
        <row r="269">
          <cell r="B269" t="str">
            <v>SCOM-CHPNGA</v>
          </cell>
          <cell r="C269" t="str">
            <v>VAR_fout</v>
          </cell>
          <cell r="D269" t="str">
            <v>CO2_S</v>
          </cell>
          <cell r="E269">
            <v>93.435941348738595</v>
          </cell>
          <cell r="F269">
            <v>98.055713493663106</v>
          </cell>
          <cell r="G269">
            <v>1.7573360180217401</v>
          </cell>
          <cell r="H269">
            <v>1.73192193390697</v>
          </cell>
          <cell r="I269">
            <v>4.0523278176319701</v>
          </cell>
          <cell r="J269">
            <v>7.92131354554928E-2</v>
          </cell>
        </row>
        <row r="270">
          <cell r="B270" t="str">
            <v>SCOM-CHPNGA</v>
          </cell>
          <cell r="C270" t="str">
            <v>VAR_fout</v>
          </cell>
          <cell r="D270" t="str">
            <v>SCOM_NKEV_GAS_ELC_CHP</v>
          </cell>
          <cell r="E270">
            <v>0.59440001316523805</v>
          </cell>
          <cell r="F270">
            <v>0.62587810754818929</v>
          </cell>
          <cell r="G270">
            <v>1.0789271694399341E-2</v>
          </cell>
          <cell r="H270">
            <v>1.079788758465668E-2</v>
          </cell>
          <cell r="I270">
            <v>2.559142333100543E-2</v>
          </cell>
          <cell r="J270">
            <v>3.5790717973329062E-4</v>
          </cell>
        </row>
        <row r="271">
          <cell r="B271" t="str">
            <v>SCOM-CHPNGA</v>
          </cell>
          <cell r="C271" t="str">
            <v>VAR_fout</v>
          </cell>
          <cell r="D271" t="str">
            <v>SCOM_LTH_CHPNGA</v>
          </cell>
          <cell r="E271">
            <v>0.69257875051370332</v>
          </cell>
          <cell r="F271">
            <v>0.75021227011758773</v>
          </cell>
          <cell r="G271">
            <v>1.3474501629118139E-2</v>
          </cell>
          <cell r="H271">
            <v>1.4389118351624925E-2</v>
          </cell>
          <cell r="I271">
            <v>3.8387155893263726E-2</v>
          </cell>
          <cell r="J271">
            <v>5.3700253677756312E-4</v>
          </cell>
        </row>
        <row r="272">
          <cell r="B272" t="str">
            <v>SCOM-CHPNGA</v>
          </cell>
          <cell r="C272" t="str">
            <v>VAR_fin</v>
          </cell>
          <cell r="D272" t="str">
            <v>SNGA</v>
          </cell>
          <cell r="E272">
            <v>1.6566656267506841</v>
          </cell>
          <cell r="F272">
            <v>1.7385764803840971</v>
          </cell>
          <cell r="G272">
            <v>3.1158440035846374E-2</v>
          </cell>
          <cell r="H272">
            <v>3.0707835707570498E-2</v>
          </cell>
          <cell r="I272">
            <v>7.1849784000566838E-2</v>
          </cell>
          <cell r="J272">
            <v>1.4044882172959726E-3</v>
          </cell>
        </row>
        <row r="273">
          <cell r="B273" t="str">
            <v>SCOM-CHPNGA</v>
          </cell>
          <cell r="C273" t="str">
            <v>VAR_ncap</v>
          </cell>
          <cell r="D273" t="str">
            <v>-</v>
          </cell>
          <cell r="E273"/>
          <cell r="F273">
            <v>2.7170843223135299E-2</v>
          </cell>
          <cell r="G273">
            <v>7.6902092071915598E-8</v>
          </cell>
          <cell r="H273">
            <v>5.20822658845707E-7</v>
          </cell>
          <cell r="I273">
            <v>5.6867289338946102E-5</v>
          </cell>
          <cell r="J273">
            <v>5.3010471861072701E-8</v>
          </cell>
        </row>
        <row r="274">
          <cell r="B274" t="str">
            <v>SCOM-CHPNGA</v>
          </cell>
          <cell r="C274" t="str">
            <v>VAR_cap</v>
          </cell>
          <cell r="D274" t="str">
            <v>-</v>
          </cell>
          <cell r="E274">
            <v>6.5199864612584799E-2</v>
          </cell>
          <cell r="F274">
            <v>4.7876842137248223E-2</v>
          </cell>
          <cell r="G274">
            <v>1.7629879610943991E-3</v>
          </cell>
          <cell r="H274">
            <v>1.7630373787850054E-3</v>
          </cell>
          <cell r="I274">
            <v>1.5020552147414993E-3</v>
          </cell>
          <cell r="J274">
            <v>5.8286515031875008E-5</v>
          </cell>
        </row>
        <row r="275">
          <cell r="B275" t="str">
            <v>D-IPLT</v>
          </cell>
          <cell r="C275" t="str">
            <v>VAR_fout</v>
          </cell>
          <cell r="D275" t="str">
            <v>IPLT</v>
          </cell>
          <cell r="E275">
            <v>0.6257876771667773</v>
          </cell>
          <cell r="F275">
            <v>0.73757343594241342</v>
          </cell>
          <cell r="G275">
            <v>0.73650781861524639</v>
          </cell>
          <cell r="H275">
            <v>0.73444250422573998</v>
          </cell>
          <cell r="I275">
            <v>0.73035047504535577</v>
          </cell>
          <cell r="J275">
            <v>0.72629612454041059</v>
          </cell>
        </row>
        <row r="276">
          <cell r="B276" t="str">
            <v>D-IPLT</v>
          </cell>
          <cell r="C276" t="str">
            <v>VAR_fin</v>
          </cell>
          <cell r="D276" t="str">
            <v>PLT</v>
          </cell>
          <cell r="E276">
            <v>0.6257876771667773</v>
          </cell>
          <cell r="F276">
            <v>0.73757343594241342</v>
          </cell>
          <cell r="G276">
            <v>0.73650781861524639</v>
          </cell>
          <cell r="H276">
            <v>0.73444250422573998</v>
          </cell>
          <cell r="I276">
            <v>0.73035047504535577</v>
          </cell>
          <cell r="J276">
            <v>0.72629612454041059</v>
          </cell>
        </row>
        <row r="277">
          <cell r="B277" t="str">
            <v>LTH-STG</v>
          </cell>
          <cell r="C277" t="str">
            <v>VAR_fout</v>
          </cell>
          <cell r="D277" t="str">
            <v>AUX_LTH-STG_OUT</v>
          </cell>
          <cell r="E277">
            <v>9.3919399940972951E-5</v>
          </cell>
          <cell r="F277">
            <v>7.7884225413260501E-4</v>
          </cell>
          <cell r="G277">
            <v>2.0030360412071182E-3</v>
          </cell>
          <cell r="H277">
            <v>7.9139960634666301E-4</v>
          </cell>
          <cell r="I277">
            <v>1.2143713591973621E-3</v>
          </cell>
          <cell r="J277">
            <v>1.2993281244809399E-2</v>
          </cell>
        </row>
        <row r="278">
          <cell r="B278" t="str">
            <v>LTH-STG</v>
          </cell>
          <cell r="C278" t="str">
            <v>VAR_fout</v>
          </cell>
          <cell r="D278" t="str">
            <v>LTH</v>
          </cell>
          <cell r="E278">
            <v>9.3919399940972775E-5</v>
          </cell>
          <cell r="F278">
            <v>7.7936148230202537E-4</v>
          </cell>
          <cell r="G278">
            <v>2.0051225370833745E-3</v>
          </cell>
          <cell r="H278">
            <v>7.9139960634666301E-4</v>
          </cell>
          <cell r="I278">
            <v>1.2143713591973558E-3</v>
          </cell>
          <cell r="J278">
            <v>1.2993281244809399E-2</v>
          </cell>
        </row>
        <row r="279">
          <cell r="B279" t="str">
            <v>LTH-STG</v>
          </cell>
          <cell r="C279" t="str">
            <v>VAR_fin</v>
          </cell>
          <cell r="D279" t="str">
            <v>AUX_LTH-STG_IN</v>
          </cell>
          <cell r="E279">
            <v>1.2207741566651375E-4</v>
          </cell>
          <cell r="F279">
            <v>1.0258942045866144E-3</v>
          </cell>
          <cell r="G279">
            <v>2.5866517619382787E-3</v>
          </cell>
          <cell r="H279">
            <v>9.9002568854284346E-4</v>
          </cell>
          <cell r="I279">
            <v>1.4317947469017532E-3</v>
          </cell>
          <cell r="J279">
            <v>1.4437795769770471E-2</v>
          </cell>
        </row>
        <row r="280">
          <cell r="B280" t="str">
            <v>LTH-STG</v>
          </cell>
          <cell r="C280" t="str">
            <v>VAR_fin</v>
          </cell>
          <cell r="D280" t="str">
            <v>LTH</v>
          </cell>
          <cell r="E280">
            <v>1.2207741566651375E-4</v>
          </cell>
          <cell r="F280">
            <v>1.0258942045866144E-3</v>
          </cell>
          <cell r="G280">
            <v>2.5866517619382787E-3</v>
          </cell>
          <cell r="H280">
            <v>9.9002568854284346E-4</v>
          </cell>
          <cell r="I280">
            <v>1.4317947469017532E-3</v>
          </cell>
          <cell r="J280">
            <v>1.4437795769770471E-2</v>
          </cell>
        </row>
        <row r="281">
          <cell r="B281" t="str">
            <v>LTH-STG</v>
          </cell>
          <cell r="C281" t="str">
            <v>VAR_ncap</v>
          </cell>
          <cell r="D281" t="str">
            <v>-</v>
          </cell>
          <cell r="E281">
            <v>2.87873745474773E-5</v>
          </cell>
          <cell r="F281">
            <v>1.6530091356828899E-6</v>
          </cell>
          <cell r="G281">
            <v>1.3813054574490501E-6</v>
          </cell>
          <cell r="H281">
            <v>1.5387962007651401E-6</v>
          </cell>
          <cell r="I281">
            <v>1.9964477654012599E-5</v>
          </cell>
          <cell r="J281">
            <v>4.5557873555178499E-2</v>
          </cell>
        </row>
        <row r="282">
          <cell r="B282" t="str">
            <v>LTH-STG</v>
          </cell>
          <cell r="C282" t="str">
            <v>VAR_cap</v>
          </cell>
          <cell r="D282" t="str">
            <v>-</v>
          </cell>
          <cell r="E282">
            <v>1.9358558160804718E-4</v>
          </cell>
          <cell r="F282">
            <v>1.8649903457328691E-4</v>
          </cell>
          <cell r="G282">
            <v>1.841818355109506E-4</v>
          </cell>
          <cell r="H282">
            <v>8.9448914064855302E-5</v>
          </cell>
          <cell r="I282">
            <v>8.4327572206192321E-5</v>
          </cell>
          <cell r="J282">
            <v>4.5621201418521766E-2</v>
          </cell>
        </row>
        <row r="283">
          <cell r="B283" t="str">
            <v>ITOT-CHPOIL</v>
          </cell>
          <cell r="C283" t="str">
            <v>VAR_fout</v>
          </cell>
          <cell r="D283" t="str">
            <v>ITOT_LTH_CHP</v>
          </cell>
          <cell r="E283">
            <v>0.92933032099954038</v>
          </cell>
          <cell r="F283">
            <v>2.07060603227966</v>
          </cell>
          <cell r="G283">
            <v>0.64408604060841235</v>
          </cell>
          <cell r="H283">
            <v>1.3156405144628802</v>
          </cell>
          <cell r="I283">
            <v>5.5574178558744781E-2</v>
          </cell>
          <cell r="J283">
            <v>8.0838714060464598E-2</v>
          </cell>
        </row>
        <row r="284">
          <cell r="B284" t="str">
            <v>ITOT-CHPOIL</v>
          </cell>
          <cell r="C284" t="str">
            <v>VAR_fout</v>
          </cell>
          <cell r="D284" t="str">
            <v>ITOT_NKEV_OIL_ELC_CHP</v>
          </cell>
          <cell r="E284">
            <v>7.0500920903413325E-2</v>
          </cell>
          <cell r="F284">
            <v>0.17133249484474561</v>
          </cell>
          <cell r="G284">
            <v>6.169085285295093E-2</v>
          </cell>
          <cell r="H284">
            <v>0.17087862523978123</v>
          </cell>
          <cell r="I284">
            <v>2.5070455213530862E-2</v>
          </cell>
          <cell r="J284">
            <v>3.6467715995658269E-2</v>
          </cell>
        </row>
        <row r="285">
          <cell r="B285" t="str">
            <v>ITOT-CHPOIL</v>
          </cell>
          <cell r="C285" t="str">
            <v>VAR_fout</v>
          </cell>
          <cell r="D285" t="str">
            <v>CO2_I</v>
          </cell>
          <cell r="E285">
            <v>21.5670971256401</v>
          </cell>
          <cell r="F285">
            <v>51.207502556538103</v>
          </cell>
          <cell r="G285">
            <v>18.0505935688827</v>
          </cell>
          <cell r="H285">
            <v>47.866734288081503</v>
          </cell>
          <cell r="I285">
            <v>7.2002198638104398</v>
          </cell>
          <cell r="J285">
            <v>10.255599395380701</v>
          </cell>
        </row>
        <row r="286">
          <cell r="B286" t="str">
            <v>ITOT-CHPOIL</v>
          </cell>
          <cell r="C286" t="str">
            <v>VAR_fin</v>
          </cell>
          <cell r="D286" t="str">
            <v>ILFO</v>
          </cell>
          <cell r="E286">
            <v>0.29263361093134482</v>
          </cell>
          <cell r="F286">
            <v>0.69481007539400408</v>
          </cell>
          <cell r="G286">
            <v>0.24491985846516512</v>
          </cell>
          <cell r="H286">
            <v>0.64948079088305999</v>
          </cell>
          <cell r="I286">
            <v>9.7696334651430627E-2</v>
          </cell>
          <cell r="J286">
            <v>0.13915331608386303</v>
          </cell>
        </row>
        <row r="287">
          <cell r="B287" t="str">
            <v>ITOT-CHPOIL</v>
          </cell>
          <cell r="C287" t="str">
            <v>VAR_ncap</v>
          </cell>
          <cell r="D287" t="str">
            <v>-</v>
          </cell>
          <cell r="E287"/>
          <cell r="F287">
            <v>5.6582570285613597E-3</v>
          </cell>
          <cell r="G287">
            <v>1.2967462195592301E-3</v>
          </cell>
          <cell r="H287">
            <v>1.43420904262245E-2</v>
          </cell>
          <cell r="I287">
            <v>2.86752292503074E-2</v>
          </cell>
          <cell r="J287">
            <v>6.1839619354907102E-2</v>
          </cell>
        </row>
        <row r="288">
          <cell r="B288" t="str">
            <v>ITOT-CHPOIL</v>
          </cell>
          <cell r="C288" t="str">
            <v>VAR_cap</v>
          </cell>
          <cell r="D288" t="str">
            <v>-</v>
          </cell>
          <cell r="E288">
            <v>8.3052317464614167E-3</v>
          </cell>
          <cell r="F288">
            <v>6.5909969243481458E-3</v>
          </cell>
          <cell r="G288">
            <v>7.8874605739864614E-3</v>
          </cell>
          <cell r="H288">
            <v>2.2229352766366652E-2</v>
          </cell>
          <cell r="I288">
            <v>6.4205728218250116E-2</v>
          </cell>
          <cell r="J288">
            <v>9.3438837267278765E-2</v>
          </cell>
        </row>
        <row r="289">
          <cell r="B289" t="str">
            <v>ENUC_GOE</v>
          </cell>
          <cell r="C289" t="str">
            <v>VAR_fout</v>
          </cell>
          <cell r="D289" t="str">
            <v>ELC</v>
          </cell>
          <cell r="E289">
            <v>29.714399999996157</v>
          </cell>
          <cell r="F289">
            <v>29.714387945413318</v>
          </cell>
          <cell r="G289">
            <v>26.164890184626472</v>
          </cell>
          <cell r="H289">
            <v>28.977006702200633</v>
          </cell>
          <cell r="I289"/>
          <cell r="J289"/>
        </row>
        <row r="290">
          <cell r="B290" t="str">
            <v>ENUC_GOE</v>
          </cell>
          <cell r="C290" t="str">
            <v>VAR_fin</v>
          </cell>
          <cell r="D290" t="str">
            <v>URN</v>
          </cell>
          <cell r="E290">
            <v>89.58057535370763</v>
          </cell>
          <cell r="F290">
            <v>89.580539012524142</v>
          </cell>
          <cell r="G290">
            <v>78.879799585578738</v>
          </cell>
          <cell r="H290">
            <v>87.357541542541995</v>
          </cell>
          <cell r="I290"/>
          <cell r="J290"/>
        </row>
        <row r="291">
          <cell r="B291" t="str">
            <v>ENUC_GOE</v>
          </cell>
          <cell r="C291" t="str">
            <v>VAR_cap</v>
          </cell>
          <cell r="D291" t="str">
            <v>-</v>
          </cell>
          <cell r="E291">
            <v>1.01</v>
          </cell>
          <cell r="F291">
            <v>1.01</v>
          </cell>
          <cell r="G291">
            <v>1.01</v>
          </cell>
          <cell r="H291">
            <v>1.01</v>
          </cell>
          <cell r="I291"/>
          <cell r="J291"/>
        </row>
        <row r="292">
          <cell r="B292" t="str">
            <v>D-RNGA</v>
          </cell>
          <cell r="C292" t="str">
            <v>VAR_fout</v>
          </cell>
          <cell r="D292" t="str">
            <v>CO2</v>
          </cell>
          <cell r="E292">
            <v>2650.6777191362899</v>
          </cell>
          <cell r="F292">
            <v>2610.2149371499399</v>
          </cell>
          <cell r="G292">
            <v>2663.51849362954</v>
          </cell>
          <cell r="H292">
            <v>2528.01784469326</v>
          </cell>
          <cell r="I292">
            <v>2537.3725634397802</v>
          </cell>
          <cell r="J292">
            <v>1947.4709268366701</v>
          </cell>
        </row>
        <row r="293">
          <cell r="B293" t="str">
            <v>D-RNGA</v>
          </cell>
          <cell r="C293" t="str">
            <v>VAR_fout</v>
          </cell>
          <cell r="D293" t="str">
            <v>RNGA</v>
          </cell>
          <cell r="E293">
            <v>47.159755211375185</v>
          </cell>
          <cell r="F293">
            <v>48.28300234607434</v>
          </cell>
          <cell r="G293">
            <v>48.593334515585454</v>
          </cell>
          <cell r="H293">
            <v>44.681601157557658</v>
          </cell>
          <cell r="I293">
            <v>44.849420233515616</v>
          </cell>
          <cell r="J293">
            <v>34.483202853382167</v>
          </cell>
        </row>
        <row r="294">
          <cell r="B294" t="str">
            <v>D-RNGA</v>
          </cell>
          <cell r="C294" t="str">
            <v>VAR_fin</v>
          </cell>
          <cell r="D294" t="str">
            <v>NGA</v>
          </cell>
          <cell r="E294">
            <v>46.99783189957958</v>
          </cell>
          <cell r="F294">
            <v>46.28040668705566</v>
          </cell>
          <cell r="G294">
            <v>47.225505206197518</v>
          </cell>
          <cell r="H294">
            <v>44.82301143073159</v>
          </cell>
          <cell r="I294">
            <v>44.988875238293936</v>
          </cell>
          <cell r="J294">
            <v>34.529626362352396</v>
          </cell>
        </row>
        <row r="295">
          <cell r="B295" t="str">
            <v>D-RNGA</v>
          </cell>
          <cell r="C295" t="str">
            <v>VAR_fin</v>
          </cell>
          <cell r="D295" t="str">
            <v>BNGA</v>
          </cell>
          <cell r="E295">
            <v>0.31258078956209345</v>
          </cell>
          <cell r="F295">
            <v>2.1568414840838899</v>
          </cell>
          <cell r="G295">
            <v>1.4940617678424617</v>
          </cell>
          <cell r="H295">
            <v>1.0083413691474728E-3</v>
          </cell>
          <cell r="I295">
            <v>1.0340795891534212E-4</v>
          </cell>
          <cell r="J295">
            <v>3.9233455974476793E-5</v>
          </cell>
        </row>
        <row r="296">
          <cell r="B296" t="str">
            <v>D-RNGA</v>
          </cell>
          <cell r="C296" t="str">
            <v>VAR_fin</v>
          </cell>
          <cell r="D296" t="str">
            <v>H2</v>
          </cell>
          <cell r="E296"/>
          <cell r="F296"/>
          <cell r="G296">
            <v>2.9004759838238702E-2</v>
          </cell>
          <cell r="H296">
            <v>3.2210374079690268E-4</v>
          </cell>
          <cell r="I296">
            <v>3.718423653984546E-3</v>
          </cell>
          <cell r="J296">
            <v>6.3697972868315189E-2</v>
          </cell>
        </row>
        <row r="297">
          <cell r="B297" t="str">
            <v>D-RNGA</v>
          </cell>
          <cell r="C297" t="str">
            <v>VAR_ncap</v>
          </cell>
          <cell r="D297" t="str">
            <v>-</v>
          </cell>
          <cell r="E297">
            <v>1.16146838588279E-7</v>
          </cell>
          <cell r="F297">
            <v>5.0212860725440901E-8</v>
          </cell>
          <cell r="G297">
            <v>6.18404382749521E-8</v>
          </cell>
          <cell r="H297">
            <v>6.3904201557145902E-8</v>
          </cell>
          <cell r="I297">
            <v>2.01346575981521E-7</v>
          </cell>
          <cell r="J297">
            <v>0.27754451818130998</v>
          </cell>
        </row>
        <row r="298">
          <cell r="B298" t="str">
            <v>D-RNGA</v>
          </cell>
          <cell r="C298" t="str">
            <v>VAR_cap</v>
          </cell>
          <cell r="D298" t="str">
            <v>-</v>
          </cell>
          <cell r="E298">
            <v>3.0972401235427585</v>
          </cell>
          <cell r="F298">
            <v>3.0972401737556194</v>
          </cell>
          <cell r="G298">
            <v>3.0972402355960575</v>
          </cell>
          <cell r="H298">
            <v>3.097240299500259</v>
          </cell>
          <cell r="I298">
            <v>3.0972405978517306</v>
          </cell>
          <cell r="J298">
            <v>1.83082735667334</v>
          </cell>
        </row>
        <row r="299">
          <cell r="B299" t="str">
            <v>RHES-CHPGFC</v>
          </cell>
          <cell r="C299" t="str">
            <v>VAR_fout</v>
          </cell>
          <cell r="D299" t="str">
            <v>CO2_R</v>
          </cell>
          <cell r="E299"/>
          <cell r="F299"/>
          <cell r="G299"/>
          <cell r="H299">
            <v>7.1994104659748297E-3</v>
          </cell>
          <cell r="I299">
            <v>2.2449365096054101E-2</v>
          </cell>
          <cell r="J299">
            <v>1.8512794226857001E-2</v>
          </cell>
        </row>
        <row r="300">
          <cell r="B300" t="str">
            <v>RHES-CHPGFC</v>
          </cell>
          <cell r="C300" t="str">
            <v>VAR_fout</v>
          </cell>
          <cell r="D300" t="str">
            <v>RHES_NKEV_GAS_ELC_CHP</v>
          </cell>
          <cell r="E300"/>
          <cell r="F300"/>
          <cell r="G300"/>
          <cell r="H300">
            <v>5.3612631129599823E-5</v>
          </cell>
          <cell r="I300">
            <v>1.7513689082028022E-4</v>
          </cell>
          <cell r="J300">
            <v>1.4770846457598657E-4</v>
          </cell>
        </row>
        <row r="301">
          <cell r="B301" t="str">
            <v>RHES-CHPGFC</v>
          </cell>
          <cell r="C301" t="str">
            <v>VAR_fout</v>
          </cell>
          <cell r="D301" t="str">
            <v>RHES_LTH_CHPNGA</v>
          </cell>
          <cell r="E301"/>
          <cell r="F301"/>
          <cell r="G301"/>
          <cell r="H301">
            <v>6.0046146865151809E-5</v>
          </cell>
          <cell r="I301">
            <v>1.8564510426949724E-4</v>
          </cell>
          <cell r="J301">
            <v>1.4770846457598657E-4</v>
          </cell>
        </row>
        <row r="302">
          <cell r="B302" t="str">
            <v>RHES-CHPGFC</v>
          </cell>
          <cell r="C302" t="str">
            <v>VAR_fin</v>
          </cell>
          <cell r="D302" t="str">
            <v>RNGA</v>
          </cell>
          <cell r="E302"/>
          <cell r="F302"/>
          <cell r="G302"/>
          <cell r="H302">
            <v>1.2764912173714236E-4</v>
          </cell>
          <cell r="I302">
            <v>3.9803838822790975E-4</v>
          </cell>
          <cell r="J302">
            <v>3.282410323910813E-4</v>
          </cell>
        </row>
        <row r="303">
          <cell r="B303" t="str">
            <v>RHES-CHPGFC</v>
          </cell>
          <cell r="C303" t="str">
            <v>VAR_ncap</v>
          </cell>
          <cell r="D303" t="str">
            <v>-</v>
          </cell>
          <cell r="E303"/>
          <cell r="F303"/>
          <cell r="G303"/>
          <cell r="H303">
            <v>4.7276590896834698E-6</v>
          </cell>
          <cell r="I303">
            <v>5.3462793583441104E-7</v>
          </cell>
          <cell r="J303">
            <v>3.20781556813913E-6</v>
          </cell>
        </row>
        <row r="304">
          <cell r="B304" t="str">
            <v>RHES-CHPGFC</v>
          </cell>
          <cell r="C304" t="str">
            <v>VAR_cap</v>
          </cell>
          <cell r="D304" t="str">
            <v>-</v>
          </cell>
          <cell r="E304"/>
          <cell r="F304"/>
          <cell r="G304"/>
          <cell r="H304">
            <v>4.7276590896834698E-6</v>
          </cell>
          <cell r="I304">
            <v>1.5263660792254999E-5</v>
          </cell>
          <cell r="J304">
            <v>1.2919307570250313E-5</v>
          </cell>
        </row>
        <row r="305">
          <cell r="B305" t="str">
            <v>ITOT-CHPHFC</v>
          </cell>
          <cell r="C305" t="str">
            <v>VAR_fout</v>
          </cell>
          <cell r="D305" t="str">
            <v>ITOT_LTH_CHP</v>
          </cell>
          <cell r="E305"/>
          <cell r="F305"/>
          <cell r="G305"/>
          <cell r="H305">
            <v>1.7659029966205319E-3</v>
          </cell>
          <cell r="I305">
            <v>1.0095540810673048E-2</v>
          </cell>
          <cell r="J305">
            <v>2.3482492239444184E-2</v>
          </cell>
        </row>
        <row r="306">
          <cell r="B306" t="str">
            <v>ITOT-CHPHFC</v>
          </cell>
          <cell r="C306" t="str">
            <v>VAR_fout</v>
          </cell>
          <cell r="D306" t="str">
            <v>ITOT_KEV_HFC_ELC_CHP</v>
          </cell>
          <cell r="E306"/>
          <cell r="F306"/>
          <cell r="G306"/>
          <cell r="H306">
            <v>2.3624918468301702E-3</v>
          </cell>
          <cell r="I306">
            <v>1.6825901351121761E-2</v>
          </cell>
          <cell r="J306">
            <v>4.6964984478888368E-2</v>
          </cell>
        </row>
        <row r="307">
          <cell r="B307" t="str">
            <v>ITOT-CHPHFC</v>
          </cell>
          <cell r="C307" t="str">
            <v>VAR_fin</v>
          </cell>
          <cell r="D307" t="str">
            <v>IH2</v>
          </cell>
          <cell r="E307"/>
          <cell r="F307"/>
          <cell r="G307"/>
          <cell r="H307">
            <v>4.7727108016771009E-3</v>
          </cell>
          <cell r="I307">
            <v>3.0592547911130478E-2</v>
          </cell>
          <cell r="J307">
            <v>7.8274974131480643E-2</v>
          </cell>
        </row>
        <row r="308">
          <cell r="B308" t="str">
            <v>ITOT-CHPHFC</v>
          </cell>
          <cell r="C308" t="str">
            <v>VAR_ncap</v>
          </cell>
          <cell r="D308" t="str">
            <v>-</v>
          </cell>
          <cell r="E308"/>
          <cell r="F308"/>
          <cell r="G308"/>
          <cell r="H308">
            <v>1.06429347717013E-4</v>
          </cell>
          <cell r="I308">
            <v>1.8416639864337701E-3</v>
          </cell>
          <cell r="J308">
            <v>4.2044877568011901E-3</v>
          </cell>
        </row>
        <row r="309">
          <cell r="B309" t="str">
            <v>ITOT-CHPHFC</v>
          </cell>
          <cell r="C309" t="str">
            <v>VAR_cap</v>
          </cell>
          <cell r="D309" t="str">
            <v>-</v>
          </cell>
          <cell r="E309"/>
          <cell r="F309"/>
          <cell r="G309"/>
          <cell r="H309">
            <v>1.06429347717013E-4</v>
          </cell>
          <cell r="I309">
            <v>1.9237835851553396E-3</v>
          </cell>
          <cell r="J309">
            <v>5.5449978484675968E-3</v>
          </cell>
        </row>
        <row r="310">
          <cell r="B310" t="str">
            <v>G-INTC-TRA</v>
          </cell>
          <cell r="C310" t="str">
            <v>VAR_fout</v>
          </cell>
          <cell r="D310" t="str">
            <v>TRAN_ELC</v>
          </cell>
          <cell r="E310">
            <v>7.9580637434449182</v>
          </cell>
          <cell r="F310">
            <v>13.645761713386719</v>
          </cell>
          <cell r="G310">
            <v>15.214024390726566</v>
          </cell>
          <cell r="H310">
            <v>23.315724414605466</v>
          </cell>
          <cell r="I310">
            <v>25.186450218796008</v>
          </cell>
          <cell r="J310">
            <v>21.742657629385352</v>
          </cell>
        </row>
        <row r="311">
          <cell r="B311" t="str">
            <v>G-INTC-TRA</v>
          </cell>
          <cell r="C311" t="str">
            <v>VAR_fin</v>
          </cell>
          <cell r="D311" t="str">
            <v>ELC3</v>
          </cell>
          <cell r="E311">
            <v>7.345904993949155</v>
          </cell>
          <cell r="F311">
            <v>13.644286494923143</v>
          </cell>
          <cell r="G311">
            <v>15.190847181909119</v>
          </cell>
          <cell r="H311">
            <v>16.390261717197912</v>
          </cell>
          <cell r="I311">
            <v>13.148808570106743</v>
          </cell>
          <cell r="J311">
            <v>9.9768523932306223</v>
          </cell>
        </row>
        <row r="312">
          <cell r="B312" t="str">
            <v>G-INTC-TRA</v>
          </cell>
          <cell r="C312" t="str">
            <v>VAR_fin</v>
          </cell>
          <cell r="D312" t="str">
            <v>ELC5</v>
          </cell>
          <cell r="E312">
            <v>0.61215874949576299</v>
          </cell>
          <cell r="F312">
            <v>1.4752184635848866E-3</v>
          </cell>
          <cell r="G312">
            <v>2.3177208817440776E-2</v>
          </cell>
          <cell r="H312">
            <v>6.9254626974075695</v>
          </cell>
          <cell r="I312">
            <v>12.037641648689275</v>
          </cell>
          <cell r="J312">
            <v>11.765805236154726</v>
          </cell>
        </row>
        <row r="313">
          <cell r="B313" t="str">
            <v>G-INTC-TRA</v>
          </cell>
          <cell r="C313" t="str">
            <v>VAR_ncap</v>
          </cell>
          <cell r="D313" t="str">
            <v>-</v>
          </cell>
          <cell r="E313">
            <v>5.2749904537475699E-8</v>
          </cell>
          <cell r="F313">
            <v>5.5891124112019903E-8</v>
          </cell>
          <cell r="G313">
            <v>6.7725609581923101E-8</v>
          </cell>
          <cell r="H313">
            <v>1.3896728003066801E-7</v>
          </cell>
          <cell r="I313">
            <v>8.9983757323137496E-8</v>
          </cell>
          <cell r="J313">
            <v>1.5460061402335399E-7</v>
          </cell>
        </row>
        <row r="314">
          <cell r="B314" t="str">
            <v>G-INTC-TRA</v>
          </cell>
          <cell r="C314" t="str">
            <v>VAR_cap</v>
          </cell>
          <cell r="D314" t="str">
            <v>-</v>
          </cell>
          <cell r="E314">
            <v>0.86351880627381705</v>
          </cell>
          <cell r="F314">
            <v>0.86351882342477149</v>
          </cell>
          <cell r="G314">
            <v>0.86351891491484567</v>
          </cell>
          <cell r="H314">
            <v>0.86351905909877158</v>
          </cell>
          <cell r="I314">
            <v>0.86351924872518215</v>
          </cell>
          <cell r="J314">
            <v>0.86351940978163755</v>
          </cell>
        </row>
        <row r="315">
          <cell r="B315" t="str">
            <v>SCOM-SWHSTG-CHPBIO</v>
          </cell>
          <cell r="C315" t="str">
            <v>VAR_fout</v>
          </cell>
          <cell r="D315" t="str">
            <v>AUX_SCOM-CHPBIO_OUT</v>
          </cell>
          <cell r="E315">
            <v>9.7248265780300617E-7</v>
          </cell>
          <cell r="F315">
            <v>6.5742217427095678E-5</v>
          </cell>
          <cell r="G315">
            <v>7.7754641213546831</v>
          </cell>
          <cell r="H315">
            <v>8.8601239514663881</v>
          </cell>
          <cell r="I315">
            <v>13.364355431142529</v>
          </cell>
          <cell r="J315">
            <v>99.585809496502932</v>
          </cell>
        </row>
        <row r="316">
          <cell r="B316" t="str">
            <v>SCOM-SWHSTG-CHPBIO</v>
          </cell>
          <cell r="C316" t="str">
            <v>VAR_fout</v>
          </cell>
          <cell r="D316" t="str">
            <v>SCOM_LTH_CHPBIO</v>
          </cell>
          <cell r="E316">
            <v>2.1703538274733046E-6</v>
          </cell>
          <cell r="F316">
            <v>6.5795953083741245E-5</v>
          </cell>
          <cell r="G316">
            <v>7.7853944714458132</v>
          </cell>
          <cell r="H316">
            <v>8.8601239514663721</v>
          </cell>
          <cell r="I316">
            <v>13.364355431142517</v>
          </cell>
          <cell r="J316">
            <v>99.585809496502932</v>
          </cell>
        </row>
        <row r="317">
          <cell r="B317" t="str">
            <v>SCOM-SWHSTG-CHPBIO</v>
          </cell>
          <cell r="C317" t="str">
            <v>VAR_fin</v>
          </cell>
          <cell r="D317" t="str">
            <v>SCOM_LTH_CHPBIO</v>
          </cell>
          <cell r="E317">
            <v>3.4665619401075198E-6</v>
          </cell>
          <cell r="F317">
            <v>7.8863069422131069E-5</v>
          </cell>
          <cell r="G317">
            <v>9.2683244895112633</v>
          </cell>
          <cell r="H317">
            <v>10.184049652632341</v>
          </cell>
          <cell r="I317">
            <v>14.370274927341828</v>
          </cell>
          <cell r="J317">
            <v>100.59172785118862</v>
          </cell>
        </row>
        <row r="318">
          <cell r="B318" t="str">
            <v>SCOM-SWHSTG-CHPBIO</v>
          </cell>
          <cell r="C318" t="str">
            <v>VAR_fin</v>
          </cell>
          <cell r="D318" t="str">
            <v>AUX_SCOM-CHPBIO_IN</v>
          </cell>
          <cell r="E318">
            <v>3.4665619401075198E-6</v>
          </cell>
          <cell r="F318">
            <v>7.8863069422131069E-5</v>
          </cell>
          <cell r="G318">
            <v>9.2683244895112633</v>
          </cell>
          <cell r="H318">
            <v>10.184049652632341</v>
          </cell>
          <cell r="I318">
            <v>14.370274927341828</v>
          </cell>
          <cell r="J318">
            <v>100.59172785118862</v>
          </cell>
        </row>
        <row r="319">
          <cell r="B319" t="str">
            <v>SCOM-SWHSTG-CHPBIO</v>
          </cell>
          <cell r="C319" t="str">
            <v>VAR_ncap</v>
          </cell>
          <cell r="D319" t="str">
            <v>-</v>
          </cell>
          <cell r="E319">
            <v>1.24759852569545E-3</v>
          </cell>
          <cell r="F319">
            <v>1.7475984112324602E-5</v>
          </cell>
          <cell r="G319">
            <v>0.48786075442802201</v>
          </cell>
          <cell r="H319">
            <v>6.6335949654694998E-2</v>
          </cell>
          <cell r="I319">
            <v>0.60128203889967102</v>
          </cell>
          <cell r="J319">
            <v>5.7090520392232902</v>
          </cell>
        </row>
        <row r="320">
          <cell r="B320" t="str">
            <v>SCOM-SWHSTG-CHPBIO</v>
          </cell>
          <cell r="C320" t="str">
            <v>VAR_cap</v>
          </cell>
          <cell r="D320" t="str">
            <v>-</v>
          </cell>
          <cell r="E320">
            <v>1.24759852569545E-3</v>
          </cell>
          <cell r="F320">
            <v>1.263612519781123E-3</v>
          </cell>
          <cell r="G320">
            <v>0.48911930371644052</v>
          </cell>
          <cell r="H320">
            <v>0.55544837414218806</v>
          </cell>
          <cell r="I320">
            <v>0.83389252692456306</v>
          </cell>
          <cell r="J320">
            <v>6.1881005455148763</v>
          </cell>
        </row>
        <row r="321">
          <cell r="B321" t="str">
            <v>SCOM-SWHSTG-CHPHFC</v>
          </cell>
          <cell r="C321" t="str">
            <v>VAR_fout</v>
          </cell>
          <cell r="D321" t="str">
            <v>AUX_SCOM-CHPHFC_OUT</v>
          </cell>
          <cell r="E321">
            <v>2.0401961980758981E-5</v>
          </cell>
          <cell r="F321">
            <v>1.5515478079899013E-5</v>
          </cell>
          <cell r="G321">
            <v>1.5847952610046451E-5</v>
          </cell>
          <cell r="H321">
            <v>2.1587228192632411E-3</v>
          </cell>
          <cell r="I321">
            <v>4.2191685342972572E-3</v>
          </cell>
          <cell r="J321">
            <v>1.7553247842185416E-2</v>
          </cell>
        </row>
        <row r="322">
          <cell r="B322" t="str">
            <v>SCOM-SWHSTG-CHPHFC</v>
          </cell>
          <cell r="C322" t="str">
            <v>VAR_fout</v>
          </cell>
          <cell r="D322" t="str">
            <v>SCOM_LTH_CHPHFC</v>
          </cell>
          <cell r="E322">
            <v>2.0401961980759008E-5</v>
          </cell>
          <cell r="F322">
            <v>1.5528159952148238E-5</v>
          </cell>
          <cell r="G322">
            <v>1.5868192651694031E-5</v>
          </cell>
          <cell r="H322">
            <v>2.1587228192632381E-3</v>
          </cell>
          <cell r="I322">
            <v>4.219168534297252E-3</v>
          </cell>
          <cell r="J322">
            <v>1.7553247842185413E-2</v>
          </cell>
        </row>
        <row r="323">
          <cell r="B323" t="str">
            <v>SCOM-SWHSTG-CHPHFC</v>
          </cell>
          <cell r="C323" t="str">
            <v>VAR_fin</v>
          </cell>
          <cell r="D323" t="str">
            <v>SCOM_LTH_CHPHFC</v>
          </cell>
          <cell r="E323">
            <v>2.0401961980759008E-5</v>
          </cell>
          <cell r="F323">
            <v>1.5528159952148238E-5</v>
          </cell>
          <cell r="G323">
            <v>1.5868192651694031E-5</v>
          </cell>
          <cell r="H323">
            <v>2.4805072074032611E-3</v>
          </cell>
          <cell r="I323">
            <v>4.5384972386056221E-3</v>
          </cell>
          <cell r="J323">
            <v>1.7731743029955799E-2</v>
          </cell>
        </row>
        <row r="324">
          <cell r="B324" t="str">
            <v>SCOM-SWHSTG-CHPHFC</v>
          </cell>
          <cell r="C324" t="str">
            <v>VAR_fin</v>
          </cell>
          <cell r="D324" t="str">
            <v>AUX_SCOM-CHPHFC_IN</v>
          </cell>
          <cell r="E324">
            <v>2.0401961980759008E-5</v>
          </cell>
          <cell r="F324">
            <v>1.5528159952148238E-5</v>
          </cell>
          <cell r="G324">
            <v>1.5868192651694031E-5</v>
          </cell>
          <cell r="H324">
            <v>2.4805072074032611E-3</v>
          </cell>
          <cell r="I324">
            <v>4.5384972386056221E-3</v>
          </cell>
          <cell r="J324">
            <v>1.7731743029955799E-2</v>
          </cell>
        </row>
        <row r="325">
          <cell r="B325" t="str">
            <v>SCOM-SWHSTG-CHPHFC</v>
          </cell>
          <cell r="C325" t="str">
            <v>VAR_ncap</v>
          </cell>
          <cell r="D325" t="str">
            <v>-</v>
          </cell>
          <cell r="E325">
            <v>4.7513669066916902E-4</v>
          </cell>
          <cell r="F325">
            <v>1.39322984677854E-5</v>
          </cell>
          <cell r="G325">
            <v>2.1684733360155901E-5</v>
          </cell>
          <cell r="H325">
            <v>1.9825696580004701E-5</v>
          </cell>
          <cell r="I325">
            <v>4.0337019336568998E-5</v>
          </cell>
          <cell r="J325">
            <v>7.7635019509866604E-4</v>
          </cell>
        </row>
        <row r="326">
          <cell r="B326" t="str">
            <v>SCOM-SWHSTG-CHPHFC</v>
          </cell>
          <cell r="C326" t="str">
            <v>VAR_cap</v>
          </cell>
          <cell r="D326" t="str">
            <v>-</v>
          </cell>
          <cell r="E326">
            <v>4.7513669066916902E-4</v>
          </cell>
          <cell r="F326">
            <v>4.8761490242501561E-4</v>
          </cell>
          <cell r="G326">
            <v>5.0557309156770236E-4</v>
          </cell>
          <cell r="H326">
            <v>5.1808728718929673E-4</v>
          </cell>
          <cell r="I326">
            <v>7.3185239266835146E-4</v>
          </cell>
          <cell r="J326">
            <v>1.0903034091034978E-3</v>
          </cell>
        </row>
        <row r="327">
          <cell r="B327" t="str">
            <v>D-IHFO</v>
          </cell>
          <cell r="C327" t="str">
            <v>VAR_fout</v>
          </cell>
          <cell r="D327" t="str">
            <v>CO2</v>
          </cell>
          <cell r="E327">
            <v>213.78046343474699</v>
          </cell>
          <cell r="F327">
            <v>1.75417521049731E-2</v>
          </cell>
          <cell r="G327">
            <v>5.1462617345054598E-2</v>
          </cell>
          <cell r="H327">
            <v>3.4340166553331497E-2</v>
          </cell>
          <cell r="I327">
            <v>2.7740259030027699E-2</v>
          </cell>
          <cell r="J327"/>
        </row>
        <row r="328">
          <cell r="B328" t="str">
            <v>D-IHFO</v>
          </cell>
          <cell r="C328" t="str">
            <v>VAR_fout</v>
          </cell>
          <cell r="D328" t="str">
            <v>IHFO</v>
          </cell>
          <cell r="E328">
            <v>2.7300010461898081</v>
          </cell>
          <cell r="F328">
            <v>2.2401018703561865E-4</v>
          </cell>
          <cell r="G328">
            <v>6.5718352806615665E-4</v>
          </cell>
          <cell r="H328">
            <v>4.3852786690932826E-4</v>
          </cell>
          <cell r="I328">
            <v>3.5424629059552828E-4</v>
          </cell>
          <cell r="J328"/>
        </row>
        <row r="329">
          <cell r="B329" t="str">
            <v>D-IHFO</v>
          </cell>
          <cell r="C329" t="str">
            <v>VAR_fin</v>
          </cell>
          <cell r="D329" t="str">
            <v>HFO</v>
          </cell>
          <cell r="E329">
            <v>2.7763696549967132</v>
          </cell>
          <cell r="F329">
            <v>2.278149624022481E-4</v>
          </cell>
          <cell r="G329">
            <v>6.6834567980590394E-4</v>
          </cell>
          <cell r="H329">
            <v>4.4597618900430505E-4</v>
          </cell>
          <cell r="I329">
            <v>3.6026310428607434E-4</v>
          </cell>
          <cell r="J329"/>
        </row>
        <row r="330">
          <cell r="B330" t="str">
            <v>RHNM-CHPNGA</v>
          </cell>
          <cell r="C330" t="str">
            <v>VAR_fout</v>
          </cell>
          <cell r="D330" t="str">
            <v>CO2_R</v>
          </cell>
          <cell r="E330"/>
          <cell r="F330">
            <v>0.237306555317226</v>
          </cell>
          <cell r="G330">
            <v>0.232178215048404</v>
          </cell>
          <cell r="H330">
            <v>20.838522076495099</v>
          </cell>
          <cell r="I330">
            <v>338.84990484024098</v>
          </cell>
          <cell r="J330">
            <v>301.02611070426201</v>
          </cell>
        </row>
        <row r="331">
          <cell r="B331" t="str">
            <v>RHNM-CHPNGA</v>
          </cell>
          <cell r="C331" t="str">
            <v>VAR_fout</v>
          </cell>
          <cell r="D331" t="str">
            <v>RHNM_NKEV_GAS_ELC_CHP</v>
          </cell>
          <cell r="E331"/>
          <cell r="F331">
            <v>1.2183950461752263E-3</v>
          </cell>
          <cell r="G331">
            <v>9.1489627426537853E-4</v>
          </cell>
          <cell r="H331">
            <v>0.11066805899796853</v>
          </cell>
          <cell r="I331">
            <v>1.8236656540802645</v>
          </cell>
          <cell r="J331">
            <v>1.646759946890086</v>
          </cell>
        </row>
        <row r="332">
          <cell r="B332" t="str">
            <v>RHNM-CHPNGA</v>
          </cell>
          <cell r="C332" t="str">
            <v>VAR_fout</v>
          </cell>
          <cell r="D332" t="str">
            <v>RHNM_LTH_CHPNGA</v>
          </cell>
          <cell r="E332"/>
          <cell r="F332">
            <v>2.6210898487604088E-3</v>
          </cell>
          <cell r="G332">
            <v>1.9391594594774283E-3</v>
          </cell>
          <cell r="H332">
            <v>0.22871398859580219</v>
          </cell>
          <cell r="I332">
            <v>3.6772274664241409</v>
          </cell>
          <cell r="J332">
            <v>3.2403986051708142</v>
          </cell>
        </row>
        <row r="333">
          <cell r="B333" t="str">
            <v>RHNM-CHPNGA</v>
          </cell>
          <cell r="C333" t="str">
            <v>VAR_fin</v>
          </cell>
          <cell r="D333" t="str">
            <v>RNGA</v>
          </cell>
          <cell r="E333"/>
          <cell r="F333">
            <v>4.2075630375394638E-3</v>
          </cell>
          <cell r="G333">
            <v>4.1166350185887256E-3</v>
          </cell>
          <cell r="H333">
            <v>0.36947734178182878</v>
          </cell>
          <cell r="I333">
            <v>6.0079770361744886</v>
          </cell>
          <cell r="J333">
            <v>5.3373423883734281</v>
          </cell>
        </row>
        <row r="334">
          <cell r="B334" t="str">
            <v>RHNM-CHPNGA</v>
          </cell>
          <cell r="C334" t="str">
            <v>VAR_ncap</v>
          </cell>
          <cell r="D334" t="str">
            <v>-</v>
          </cell>
          <cell r="E334"/>
          <cell r="F334">
            <v>1.16769669308721E-4</v>
          </cell>
          <cell r="G334">
            <v>1.63519835658134E-5</v>
          </cell>
          <cell r="H334">
            <v>8.0789456285720092E-3</v>
          </cell>
          <cell r="I334">
            <v>9.2352445846342099E-2</v>
          </cell>
          <cell r="J334">
            <v>1.62072526567124E-7</v>
          </cell>
        </row>
        <row r="335">
          <cell r="B335" t="str">
            <v>RHNM-CHPNGA</v>
          </cell>
          <cell r="C335" t="str">
            <v>VAR_cap</v>
          </cell>
          <cell r="D335" t="str">
            <v>-</v>
          </cell>
          <cell r="E335"/>
          <cell r="F335">
            <v>1.16769669308721E-4</v>
          </cell>
          <cell r="G335">
            <v>1.3303764394510906E-4</v>
          </cell>
          <cell r="H335">
            <v>8.2120136245510972E-3</v>
          </cell>
          <cell r="I335">
            <v>0.13532224688231695</v>
          </cell>
          <cell r="J335">
            <v>0.12219521377039255</v>
          </cell>
        </row>
        <row r="336">
          <cell r="B336" t="str">
            <v>G-INTC-EXP00-DE</v>
          </cell>
          <cell r="C336" t="str">
            <v>VAR_fout</v>
          </cell>
          <cell r="D336" t="str">
            <v>ELC_E-DE</v>
          </cell>
          <cell r="E336">
            <v>26.492979441930757</v>
          </cell>
          <cell r="F336">
            <v>1.8114471804500109E-4</v>
          </cell>
          <cell r="G336">
            <v>2.119202051016119E-4</v>
          </cell>
          <cell r="H336">
            <v>1.5899081669198863E-4</v>
          </cell>
          <cell r="I336">
            <v>4.565126658987809E-4</v>
          </cell>
          <cell r="J336">
            <v>1.2946300689982559E-4</v>
          </cell>
        </row>
        <row r="337">
          <cell r="B337" t="str">
            <v>G-INTC-EXP00-DE</v>
          </cell>
          <cell r="C337" t="str">
            <v>VAR_fin</v>
          </cell>
          <cell r="D337" t="str">
            <v>ELC</v>
          </cell>
          <cell r="E337">
            <v>26.492979441930757</v>
          </cell>
          <cell r="F337">
            <v>1.8114471804500109E-4</v>
          </cell>
          <cell r="G337">
            <v>2.119202051016119E-4</v>
          </cell>
          <cell r="H337">
            <v>1.5899081669198863E-4</v>
          </cell>
          <cell r="I337">
            <v>4.565126658987809E-4</v>
          </cell>
          <cell r="J337">
            <v>1.2946300689982559E-4</v>
          </cell>
        </row>
        <row r="338">
          <cell r="B338" t="str">
            <v>G-INTC-EXP00-DE</v>
          </cell>
          <cell r="C338" t="str">
            <v>VAR_ncap</v>
          </cell>
          <cell r="D338" t="str">
            <v>-</v>
          </cell>
          <cell r="E338">
            <v>3.6351094466871302E-7</v>
          </cell>
          <cell r="F338">
            <v>3.3118135958512198E-7</v>
          </cell>
          <cell r="G338">
            <v>4.5116873776678098E-7</v>
          </cell>
          <cell r="H338">
            <v>6.3251388588436196E-7</v>
          </cell>
          <cell r="I338">
            <v>1.3507623347339699E-6</v>
          </cell>
          <cell r="J338">
            <v>2.0891597771731301E-6</v>
          </cell>
        </row>
        <row r="339">
          <cell r="B339" t="str">
            <v>G-INTC-EXP00-DE</v>
          </cell>
          <cell r="C339" t="str">
            <v>VAR_cap</v>
          </cell>
          <cell r="D339" t="str">
            <v>-</v>
          </cell>
          <cell r="E339">
            <v>4.0261348762612705</v>
          </cell>
          <cell r="F339">
            <v>2.4275268209983381E-4</v>
          </cell>
          <cell r="G339">
            <v>2.4147089906989549E-4</v>
          </cell>
          <cell r="H339">
            <v>2.4071240312206754E-4</v>
          </cell>
          <cell r="I339">
            <v>2.4040687086746004E-4</v>
          </cell>
          <cell r="J339">
            <v>1.2270786030033065E-4</v>
          </cell>
        </row>
        <row r="340">
          <cell r="B340" t="str">
            <v>CEN-EBAT</v>
          </cell>
          <cell r="C340" t="str">
            <v>VAR_fout</v>
          </cell>
          <cell r="D340" t="str">
            <v>ELC13</v>
          </cell>
          <cell r="E340">
            <v>1.6209043237908624E-3</v>
          </cell>
          <cell r="F340">
            <v>1.282050990940414E-3</v>
          </cell>
          <cell r="G340">
            <v>1.644142305613115E-3</v>
          </cell>
          <cell r="H340">
            <v>1.5325656675920689E-3</v>
          </cell>
          <cell r="I340">
            <v>3.5541874089659387E-3</v>
          </cell>
          <cell r="J340">
            <v>0.77386293549681462</v>
          </cell>
        </row>
        <row r="341">
          <cell r="B341" t="str">
            <v>CEN-EBAT</v>
          </cell>
          <cell r="C341" t="str">
            <v>VAR_fout</v>
          </cell>
          <cell r="D341" t="str">
            <v>AUX_CEN-EBAT_OUT</v>
          </cell>
          <cell r="E341">
            <v>1.6209043237908585E-3</v>
          </cell>
          <cell r="F341">
            <v>1.282050990940411E-3</v>
          </cell>
          <cell r="G341">
            <v>1.6441423056131116E-3</v>
          </cell>
          <cell r="H341">
            <v>1.5325656675920652E-3</v>
          </cell>
          <cell r="I341">
            <v>3.5541874089659257E-3</v>
          </cell>
          <cell r="J341">
            <v>0.77386293549681184</v>
          </cell>
        </row>
        <row r="342">
          <cell r="B342" t="str">
            <v>CEN-EBAT</v>
          </cell>
          <cell r="C342" t="str">
            <v>VAR_fin</v>
          </cell>
          <cell r="D342" t="str">
            <v>AUX_CEN-EBAT_IN</v>
          </cell>
          <cell r="E342">
            <v>1.87436790189795E-3</v>
          </cell>
          <cell r="F342">
            <v>1.4824442228681524E-3</v>
          </cell>
          <cell r="G342">
            <v>1.8963246804154911E-3</v>
          </cell>
          <cell r="H342">
            <v>1.7680793475544966E-3</v>
          </cell>
          <cell r="I342">
            <v>4.1014094120124626E-3</v>
          </cell>
          <cell r="J342">
            <v>0.89253646487804017</v>
          </cell>
        </row>
        <row r="343">
          <cell r="B343" t="str">
            <v>CEN-EBAT</v>
          </cell>
          <cell r="C343" t="str">
            <v>VAR_fin</v>
          </cell>
          <cell r="D343" t="str">
            <v>ELC13</v>
          </cell>
          <cell r="E343">
            <v>1.87436790189795E-3</v>
          </cell>
          <cell r="F343">
            <v>1.4824442228681524E-3</v>
          </cell>
          <cell r="G343">
            <v>1.8963246804154911E-3</v>
          </cell>
          <cell r="H343">
            <v>1.7680793475544966E-3</v>
          </cell>
          <cell r="I343">
            <v>4.1014094120124626E-3</v>
          </cell>
          <cell r="J343">
            <v>0.89253646487804017</v>
          </cell>
        </row>
        <row r="344">
          <cell r="B344" t="str">
            <v>CEN-EBAT</v>
          </cell>
          <cell r="C344" t="str">
            <v>VAR_ncap</v>
          </cell>
          <cell r="D344" t="str">
            <v>-</v>
          </cell>
          <cell r="E344">
            <v>2.7728420441042401E-4</v>
          </cell>
          <cell r="F344">
            <v>3.96040317366E-7</v>
          </cell>
          <cell r="G344">
            <v>3.74818932445737E-6</v>
          </cell>
          <cell r="H344">
            <v>5.5096929203644898E-5</v>
          </cell>
          <cell r="I344">
            <v>3.4776059283547501E-4</v>
          </cell>
          <cell r="J344">
            <v>0.40903393899760498</v>
          </cell>
        </row>
        <row r="345">
          <cell r="B345" t="str">
            <v>CEN-EBAT</v>
          </cell>
          <cell r="C345" t="str">
            <v>VAR_cap</v>
          </cell>
          <cell r="D345" t="str">
            <v>-</v>
          </cell>
          <cell r="E345">
            <v>2.7728420441042401E-4</v>
          </cell>
          <cell r="F345">
            <v>2.7755963505106981E-4</v>
          </cell>
          <cell r="G345">
            <v>2.8119329245810141E-4</v>
          </cell>
          <cell r="H345">
            <v>2.616513233088388E-4</v>
          </cell>
          <cell r="I345">
            <v>6.0702806088216424E-4</v>
          </cell>
          <cell r="J345">
            <v>0.40925193387414499</v>
          </cell>
        </row>
        <row r="346">
          <cell r="B346" t="str">
            <v>ESOL-PV</v>
          </cell>
          <cell r="C346" t="str">
            <v>VAR_fout</v>
          </cell>
          <cell r="D346" t="str">
            <v>ELC35</v>
          </cell>
          <cell r="E346"/>
          <cell r="F346"/>
          <cell r="G346">
            <v>0.1408056027806257</v>
          </cell>
          <cell r="H346">
            <v>0.15584607938838688</v>
          </cell>
          <cell r="I346">
            <v>1.4212658619026075</v>
          </cell>
          <cell r="J346">
            <v>5.8670654180739703</v>
          </cell>
        </row>
        <row r="347">
          <cell r="B347" t="str">
            <v>ESOL-PV</v>
          </cell>
          <cell r="C347" t="str">
            <v>VAR_fin</v>
          </cell>
          <cell r="D347" t="str">
            <v>SOL</v>
          </cell>
          <cell r="E347"/>
          <cell r="F347"/>
          <cell r="G347">
            <v>0.1408056027806257</v>
          </cell>
          <cell r="H347">
            <v>0.15584607938838688</v>
          </cell>
          <cell r="I347">
            <v>1.4212658619026075</v>
          </cell>
          <cell r="J347">
            <v>5.8670654180739703</v>
          </cell>
        </row>
        <row r="348">
          <cell r="B348" t="str">
            <v>ESOL-PV</v>
          </cell>
          <cell r="C348" t="str">
            <v>VAR_fin</v>
          </cell>
          <cell r="D348" t="str">
            <v>SOLPVC</v>
          </cell>
          <cell r="E348"/>
          <cell r="F348"/>
          <cell r="G348">
            <v>0.14080560278062501</v>
          </cell>
          <cell r="H348">
            <v>0.15584607938838699</v>
          </cell>
          <cell r="I348">
            <v>1.42126586190261</v>
          </cell>
          <cell r="J348">
            <v>5.8670654180739703</v>
          </cell>
        </row>
        <row r="349">
          <cell r="B349" t="str">
            <v>ESOL-PV</v>
          </cell>
          <cell r="C349" t="str">
            <v>VAR_ncap</v>
          </cell>
          <cell r="D349" t="str">
            <v>-</v>
          </cell>
          <cell r="E349"/>
          <cell r="F349"/>
          <cell r="G349">
            <v>4.4925430892441602E-2</v>
          </cell>
          <cell r="H349">
            <v>4.26489973296449E-7</v>
          </cell>
          <cell r="I349">
            <v>0.170549589963812</v>
          </cell>
          <cell r="J349">
            <v>1.3659823127108399</v>
          </cell>
        </row>
        <row r="350">
          <cell r="B350" t="str">
            <v>ESOL-PV</v>
          </cell>
          <cell r="C350" t="str">
            <v>VAR_cap</v>
          </cell>
          <cell r="D350" t="str">
            <v>-</v>
          </cell>
          <cell r="E350"/>
          <cell r="F350"/>
          <cell r="G350">
            <v>4.4925430892441602E-2</v>
          </cell>
          <cell r="H350">
            <v>4.4925857382414898E-2</v>
          </cell>
          <cell r="I350">
            <v>0.40971051447145301</v>
          </cell>
          <cell r="J350">
            <v>1.69131022502282</v>
          </cell>
        </row>
        <row r="351">
          <cell r="B351" t="str">
            <v>RHEM-SHSTG-CHPNGA</v>
          </cell>
          <cell r="C351" t="str">
            <v>VAR_fout</v>
          </cell>
          <cell r="D351" t="str">
            <v>RHEM_LTH_CHPNGA</v>
          </cell>
          <cell r="E351">
            <v>2.1977217594848136E-2</v>
          </cell>
          <cell r="F351">
            <v>7.4710769650401159E-5</v>
          </cell>
          <cell r="G351">
            <v>1.4407920019184814E-3</v>
          </cell>
          <cell r="H351">
            <v>1.3924924690285776E-3</v>
          </cell>
          <cell r="I351">
            <v>13.927099734604605</v>
          </cell>
          <cell r="J351">
            <v>17.930235638821706</v>
          </cell>
        </row>
        <row r="352">
          <cell r="B352" t="str">
            <v>RHEM-SHSTG-CHPNGA</v>
          </cell>
          <cell r="C352" t="str">
            <v>VAR_fout</v>
          </cell>
          <cell r="D352" t="str">
            <v>AUX_REM-CHPNGA_OUT</v>
          </cell>
          <cell r="E352">
            <v>2.1977217594848192E-2</v>
          </cell>
          <cell r="F352">
            <v>7.4660995653299086E-5</v>
          </cell>
          <cell r="G352">
            <v>1.4392927386490566E-3</v>
          </cell>
          <cell r="H352">
            <v>1.3924924690285776E-3</v>
          </cell>
          <cell r="I352">
            <v>13.92709973460466</v>
          </cell>
          <cell r="J352">
            <v>17.930235638821724</v>
          </cell>
        </row>
        <row r="353">
          <cell r="B353" t="str">
            <v>RHEM-SHSTG-CHPNGA</v>
          </cell>
          <cell r="C353" t="str">
            <v>VAR_fin</v>
          </cell>
          <cell r="D353" t="str">
            <v>AUX_REM-CHPNGA_IN</v>
          </cell>
          <cell r="E353">
            <v>2.9296922262191258E-2</v>
          </cell>
          <cell r="F353">
            <v>9.8281780075751827E-5</v>
          </cell>
          <cell r="G353">
            <v>1.859890933051955E-3</v>
          </cell>
          <cell r="H353">
            <v>1.7414057192619954E-3</v>
          </cell>
          <cell r="I353">
            <v>16.384824230966455</v>
          </cell>
          <cell r="J353">
            <v>19.922484942587761</v>
          </cell>
        </row>
        <row r="354">
          <cell r="B354" t="str">
            <v>RHEM-SHSTG-CHPNGA</v>
          </cell>
          <cell r="C354" t="str">
            <v>VAR_fin</v>
          </cell>
          <cell r="D354" t="str">
            <v>RHEM_LTH_CHPNGA</v>
          </cell>
          <cell r="E354">
            <v>2.9296922262191258E-2</v>
          </cell>
          <cell r="F354">
            <v>9.8281780075751827E-5</v>
          </cell>
          <cell r="G354">
            <v>1.859890933051955E-3</v>
          </cell>
          <cell r="H354">
            <v>1.7414057192619954E-3</v>
          </cell>
          <cell r="I354">
            <v>16.384824230966455</v>
          </cell>
          <cell r="J354">
            <v>19.922484942587761</v>
          </cell>
        </row>
        <row r="355">
          <cell r="B355" t="str">
            <v>RHEM-SHSTG-CHPNGA</v>
          </cell>
          <cell r="C355" t="str">
            <v>VAR_ncap</v>
          </cell>
          <cell r="D355" t="str">
            <v>-</v>
          </cell>
          <cell r="E355">
            <v>1.8402153150459601E-3</v>
          </cell>
          <cell r="F355">
            <v>1.96194503754922E-5</v>
          </cell>
          <cell r="G355">
            <v>1.84223943675426E-5</v>
          </cell>
          <cell r="H355">
            <v>1.1447663191886399E-5</v>
          </cell>
          <cell r="I355">
            <v>0.82779223625512299</v>
          </cell>
          <cell r="J355">
            <v>0.51292153641703198</v>
          </cell>
        </row>
        <row r="356">
          <cell r="B356" t="str">
            <v>RHEM-SHSTG-CHPNGA</v>
          </cell>
          <cell r="C356" t="str">
            <v>VAR_cap</v>
          </cell>
          <cell r="D356" t="str">
            <v>-</v>
          </cell>
          <cell r="E356">
            <v>1.8402153150459601E-3</v>
          </cell>
          <cell r="F356">
            <v>1.8554480652365221E-3</v>
          </cell>
          <cell r="G356">
            <v>1.8612816065583532E-3</v>
          </cell>
          <cell r="H356">
            <v>1.815243116511408E-3</v>
          </cell>
          <cell r="I356">
            <v>0.88325787261220745</v>
          </cell>
          <cell r="J356">
            <v>1.1371313279313593</v>
          </cell>
        </row>
        <row r="357">
          <cell r="B357" t="str">
            <v>RHNS-ESOLPV</v>
          </cell>
          <cell r="C357" t="str">
            <v>VAR_fout</v>
          </cell>
          <cell r="D357" t="str">
            <v>RHNS_SOL_ELC</v>
          </cell>
          <cell r="E357"/>
          <cell r="F357">
            <v>1.8867127925874281E-5</v>
          </cell>
          <cell r="G357">
            <v>1.9469805014934326E-3</v>
          </cell>
          <cell r="H357">
            <v>2.2638463727475363E-3</v>
          </cell>
          <cell r="I357">
            <v>2.5026642844110758E-3</v>
          </cell>
          <cell r="J357">
            <v>2.7696350718464649E-3</v>
          </cell>
        </row>
        <row r="358">
          <cell r="B358" t="str">
            <v>RHNS-ESOLPV</v>
          </cell>
          <cell r="C358" t="str">
            <v>VAR_fin</v>
          </cell>
          <cell r="D358" t="str">
            <v>SOL</v>
          </cell>
          <cell r="E358"/>
          <cell r="F358">
            <v>1.8867127925874281E-5</v>
          </cell>
          <cell r="G358">
            <v>1.9469805014934326E-3</v>
          </cell>
          <cell r="H358">
            <v>2.2638463727475363E-3</v>
          </cell>
          <cell r="I358">
            <v>2.5026642844110758E-3</v>
          </cell>
          <cell r="J358">
            <v>2.7696350718464649E-3</v>
          </cell>
        </row>
        <row r="359">
          <cell r="B359" t="str">
            <v>RHNS-ESOLPV</v>
          </cell>
          <cell r="C359" t="str">
            <v>VAR_fin</v>
          </cell>
          <cell r="D359" t="str">
            <v>SOLPVC</v>
          </cell>
          <cell r="E359"/>
          <cell r="F359">
            <v>1.8867127925874301E-5</v>
          </cell>
          <cell r="G359">
            <v>1.94698050149343E-3</v>
          </cell>
          <cell r="H359">
            <v>2.2638463727475402E-3</v>
          </cell>
          <cell r="I359">
            <v>2.5026642844110801E-3</v>
          </cell>
          <cell r="J359">
            <v>2.7696350718464701E-3</v>
          </cell>
        </row>
        <row r="360">
          <cell r="B360" t="str">
            <v>RHNS-ESOLPV</v>
          </cell>
          <cell r="C360" t="str">
            <v>VAR_ncap</v>
          </cell>
          <cell r="D360" t="str">
            <v>-</v>
          </cell>
          <cell r="E360"/>
          <cell r="F360">
            <v>6.4671242630450604E-6</v>
          </cell>
          <cell r="G360">
            <v>6.15350483712309E-4</v>
          </cell>
          <cell r="H360">
            <v>3.1734066201249802E-5</v>
          </cell>
          <cell r="I360">
            <v>3.8061999743250398E-5</v>
          </cell>
          <cell r="J360">
            <v>7.2567885726831005E-4</v>
          </cell>
        </row>
        <row r="361">
          <cell r="B361" t="str">
            <v>RHNS-ESOLPV</v>
          </cell>
          <cell r="C361" t="str">
            <v>VAR_cap</v>
          </cell>
          <cell r="D361" t="str">
            <v>-</v>
          </cell>
          <cell r="E361"/>
          <cell r="F361">
            <v>6.4671242630450604E-6</v>
          </cell>
          <cell r="G361">
            <v>6.2181760797535505E-4</v>
          </cell>
          <cell r="H361">
            <v>6.5355167417660402E-4</v>
          </cell>
          <cell r="I361">
            <v>7.2207513529674904E-4</v>
          </cell>
          <cell r="J361">
            <v>7.9874768853067804E-4</v>
          </cell>
        </row>
        <row r="362">
          <cell r="B362" t="str">
            <v>RHSA-WHSTG-CHP</v>
          </cell>
          <cell r="C362" t="str">
            <v>VAR_fout</v>
          </cell>
          <cell r="D362" t="str">
            <v>AUX_RHSA-CHP_OUT</v>
          </cell>
          <cell r="E362">
            <v>3.9026864564350568E-2</v>
          </cell>
          <cell r="F362">
            <v>6.9592836258449504E-4</v>
          </cell>
          <cell r="G362">
            <v>2.3800112763486545E-3</v>
          </cell>
          <cell r="H362">
            <v>1.9170652419199402E-3</v>
          </cell>
          <cell r="I362">
            <v>0.49708454261280721</v>
          </cell>
          <cell r="J362">
            <v>0.31782345840327492</v>
          </cell>
        </row>
        <row r="363">
          <cell r="B363" t="str">
            <v>RHSA-WHSTG-CHP</v>
          </cell>
          <cell r="C363" t="str">
            <v>VAR_fout</v>
          </cell>
          <cell r="D363" t="str">
            <v>RHSA_LTH</v>
          </cell>
          <cell r="E363">
            <v>3.9026864564350464E-2</v>
          </cell>
          <cell r="F363">
            <v>6.9639231482621653E-4</v>
          </cell>
          <cell r="G363">
            <v>2.3824904547615172E-3</v>
          </cell>
          <cell r="H363">
            <v>1.9170652419199402E-3</v>
          </cell>
          <cell r="I363">
            <v>0.49708454261280544</v>
          </cell>
          <cell r="J363">
            <v>0.31782345840327458</v>
          </cell>
        </row>
        <row r="364">
          <cell r="B364" t="str">
            <v>RHSA-WHSTG-CHP</v>
          </cell>
          <cell r="C364" t="str">
            <v>VAR_fin</v>
          </cell>
          <cell r="D364" t="str">
            <v>RHSA_LTH</v>
          </cell>
          <cell r="E364">
            <v>5.2032583511247274E-2</v>
          </cell>
          <cell r="F364">
            <v>9.2018852535873889E-4</v>
          </cell>
          <cell r="G364">
            <v>3.0749854062514809E-3</v>
          </cell>
          <cell r="H364">
            <v>2.3971216152670707E-3</v>
          </cell>
          <cell r="I364">
            <v>0.5848063172947332</v>
          </cell>
          <cell r="J364">
            <v>0.3531380468293624</v>
          </cell>
        </row>
        <row r="365">
          <cell r="B365" t="str">
            <v>RHSA-WHSTG-CHP</v>
          </cell>
          <cell r="C365" t="str">
            <v>VAR_fin</v>
          </cell>
          <cell r="D365" t="str">
            <v>AUX_RHSA-CHP_IN</v>
          </cell>
          <cell r="E365">
            <v>5.2032583511247274E-2</v>
          </cell>
          <cell r="F365">
            <v>9.2018852535873889E-4</v>
          </cell>
          <cell r="G365">
            <v>3.0749854062514809E-3</v>
          </cell>
          <cell r="H365">
            <v>2.3971216152670707E-3</v>
          </cell>
          <cell r="I365">
            <v>0.5848063172947332</v>
          </cell>
          <cell r="J365">
            <v>0.3531380468293624</v>
          </cell>
        </row>
        <row r="366">
          <cell r="B366" t="str">
            <v>RHSA-WHSTG-CHP</v>
          </cell>
          <cell r="C366" t="str">
            <v>VAR_ncap</v>
          </cell>
          <cell r="D366" t="str">
            <v>-</v>
          </cell>
          <cell r="E366">
            <v>1.79845305798928E-3</v>
          </cell>
          <cell r="F366">
            <v>1.0834707480310801E-5</v>
          </cell>
          <cell r="G366">
            <v>1.16643506760006E-5</v>
          </cell>
          <cell r="H366">
            <v>9.4561437047689392E-6</v>
          </cell>
          <cell r="I366">
            <v>1.9618650177680799E-2</v>
          </cell>
          <cell r="J366">
            <v>8.8981047613249399E-4</v>
          </cell>
        </row>
        <row r="367">
          <cell r="B367" t="str">
            <v>RHSA-WHSTG-CHP</v>
          </cell>
          <cell r="C367" t="str">
            <v>VAR_cap</v>
          </cell>
          <cell r="D367" t="str">
            <v>-</v>
          </cell>
          <cell r="E367">
            <v>2.4828087352538357E-3</v>
          </cell>
          <cell r="F367">
            <v>2.4670510263607981E-3</v>
          </cell>
          <cell r="G367">
            <v>2.4411361451972782E-3</v>
          </cell>
          <cell r="H367">
            <v>1.9350432381959818E-3</v>
          </cell>
          <cell r="I367">
            <v>3.1530472235362213E-2</v>
          </cell>
          <cell r="J367">
            <v>2.0158925942139683E-2</v>
          </cell>
        </row>
        <row r="368">
          <cell r="B368" t="str">
            <v>G-INTC-SER</v>
          </cell>
          <cell r="C368" t="str">
            <v>VAR_fout</v>
          </cell>
          <cell r="D368" t="str">
            <v>ELC35</v>
          </cell>
          <cell r="E368">
            <v>56.049996605274352</v>
          </cell>
          <cell r="F368">
            <v>1.6173564730942761E-3</v>
          </cell>
          <cell r="G368">
            <v>9.1984576375074512E-2</v>
          </cell>
          <cell r="H368">
            <v>1.3576842766990906E-3</v>
          </cell>
          <cell r="I368">
            <v>1.3152732761557604E-3</v>
          </cell>
          <cell r="J368">
            <v>0.13070983207051803</v>
          </cell>
        </row>
        <row r="369">
          <cell r="B369" t="str">
            <v>G-INTC-SER</v>
          </cell>
          <cell r="C369" t="str">
            <v>VAR_fout</v>
          </cell>
          <cell r="D369" t="str">
            <v>SCOM_ELC</v>
          </cell>
          <cell r="E369">
            <v>59.259900339803224</v>
          </cell>
          <cell r="F369">
            <v>58.422394810864624</v>
          </cell>
          <cell r="G369">
            <v>56.908201525317068</v>
          </cell>
          <cell r="H369">
            <v>56.56660439581362</v>
          </cell>
          <cell r="I369">
            <v>58.3096731730773</v>
          </cell>
          <cell r="J369">
            <v>57.451733250642285</v>
          </cell>
        </row>
        <row r="370">
          <cell r="B370" t="str">
            <v>G-INTC-SER</v>
          </cell>
          <cell r="C370" t="str">
            <v>VAR_fin</v>
          </cell>
          <cell r="D370" t="str">
            <v>ELC5</v>
          </cell>
          <cell r="E370">
            <v>115.30989694273011</v>
          </cell>
          <cell r="F370">
            <v>58.4240121673377</v>
          </cell>
          <cell r="G370">
            <v>57.000186101692165</v>
          </cell>
          <cell r="H370">
            <v>56.567962080090304</v>
          </cell>
          <cell r="I370">
            <v>58.310988446353477</v>
          </cell>
          <cell r="J370">
            <v>57.582443082712771</v>
          </cell>
        </row>
        <row r="371">
          <cell r="B371" t="str">
            <v>G-INTC-SER</v>
          </cell>
          <cell r="C371" t="str">
            <v>VAR_ncap</v>
          </cell>
          <cell r="D371" t="str">
            <v>-</v>
          </cell>
          <cell r="E371">
            <v>2.84851805204525E-8</v>
          </cell>
          <cell r="F371">
            <v>2.83872322416472E-8</v>
          </cell>
          <cell r="G371">
            <v>2.5324412331796799E-8</v>
          </cell>
          <cell r="H371">
            <v>3.1943751446469301E-8</v>
          </cell>
          <cell r="I371">
            <v>5.9243117429524403E-8</v>
          </cell>
          <cell r="J371">
            <v>1.06428464243596E-7</v>
          </cell>
        </row>
        <row r="372">
          <cell r="B372" t="str">
            <v>G-INTC-SER</v>
          </cell>
          <cell r="C372" t="str">
            <v>VAR_cap</v>
          </cell>
          <cell r="D372" t="str">
            <v>-</v>
          </cell>
          <cell r="E372">
            <v>4.3683888589490198</v>
          </cell>
          <cell r="F372">
            <v>4.3683888682106105</v>
          </cell>
          <cell r="G372">
            <v>4.3683889158214324</v>
          </cell>
          <cell r="H372">
            <v>4.3683889587209563</v>
          </cell>
          <cell r="I372">
            <v>4.3683890491287771</v>
          </cell>
          <cell r="J372">
            <v>4.3683891586002161</v>
          </cell>
        </row>
        <row r="373">
          <cell r="B373" t="str">
            <v>CHPWOD</v>
          </cell>
          <cell r="C373" t="str">
            <v>VAR_fout</v>
          </cell>
          <cell r="D373" t="str">
            <v>ELC35</v>
          </cell>
          <cell r="E373">
            <v>0.42735760873980477</v>
          </cell>
          <cell r="F373">
            <v>7.9078971094668743E-2</v>
          </cell>
          <cell r="G373">
            <v>1.4053114320380083E-3</v>
          </cell>
          <cell r="H373">
            <v>6.8340181551192151E-3</v>
          </cell>
          <cell r="I373">
            <v>4.1852604907012874E-3</v>
          </cell>
          <cell r="J373">
            <v>2.8005696409611901E-3</v>
          </cell>
        </row>
        <row r="374">
          <cell r="B374" t="str">
            <v>CHPWOD</v>
          </cell>
          <cell r="C374" t="str">
            <v>VAR_fout</v>
          </cell>
          <cell r="D374" t="str">
            <v>LTH</v>
          </cell>
          <cell r="E374">
            <v>1.1176190949668792</v>
          </cell>
          <cell r="F374">
            <v>0.20680611810411359</v>
          </cell>
          <cell r="G374">
            <v>3.6751490056590582E-3</v>
          </cell>
          <cell r="H374">
            <v>1.787221996124988E-2</v>
          </cell>
          <cell r="I374">
            <v>1.0945229349282758E-2</v>
          </cell>
          <cell r="J374">
            <v>7.3240069756858673E-3</v>
          </cell>
        </row>
        <row r="375">
          <cell r="B375" t="str">
            <v>CHPWOD</v>
          </cell>
          <cell r="C375" t="str">
            <v>VAR_fin</v>
          </cell>
          <cell r="D375" t="str">
            <v>EWOD</v>
          </cell>
          <cell r="E375">
            <v>1.7520868517267745</v>
          </cell>
          <cell r="F375">
            <v>0.31617743839215601</v>
          </cell>
          <cell r="G375">
            <v>6.2309952640724822E-3</v>
          </cell>
          <cell r="H375">
            <v>2.5047728319245201E-2</v>
          </cell>
          <cell r="I375">
            <v>1.3853133311710114E-2</v>
          </cell>
          <cell r="J375">
            <v>9.2692314016159724E-3</v>
          </cell>
        </row>
        <row r="376">
          <cell r="B376" t="str">
            <v>CHPWOD</v>
          </cell>
          <cell r="C376" t="str">
            <v>VAR_ncap</v>
          </cell>
          <cell r="D376" t="str">
            <v>-</v>
          </cell>
          <cell r="E376"/>
          <cell r="F376">
            <v>7.1951124938531901E-8</v>
          </cell>
          <cell r="G376">
            <v>7.1232977938908497E-7</v>
          </cell>
          <cell r="H376">
            <v>1.450604624221E-6</v>
          </cell>
          <cell r="I376">
            <v>1.8901261165156101E-4</v>
          </cell>
          <cell r="J376">
            <v>6.6241754196447597E-7</v>
          </cell>
        </row>
        <row r="377">
          <cell r="B377" t="str">
            <v>CHPWOD</v>
          </cell>
          <cell r="C377" t="str">
            <v>VAR_cap</v>
          </cell>
          <cell r="D377" t="str">
            <v>-</v>
          </cell>
          <cell r="E377">
            <v>1.5946611432723204E-2</v>
          </cell>
          <cell r="F377">
            <v>2.9656249565228401E-3</v>
          </cell>
          <cell r="G377">
            <v>2.5559913246112759E-4</v>
          </cell>
          <cell r="H377">
            <v>2.5583567323214998E-4</v>
          </cell>
          <cell r="I377">
            <v>2.2876105867653007E-4</v>
          </cell>
          <cell r="J377">
            <v>1.9074670103001458E-4</v>
          </cell>
        </row>
        <row r="378">
          <cell r="B378" t="str">
            <v>D-EH2R</v>
          </cell>
          <cell r="C378" t="str">
            <v>VAR_fout</v>
          </cell>
          <cell r="D378" t="str">
            <v>EH2</v>
          </cell>
          <cell r="E378"/>
          <cell r="F378"/>
          <cell r="G378"/>
          <cell r="H378"/>
          <cell r="I378">
            <v>9.2726382594988238E-4</v>
          </cell>
          <cell r="J378">
            <v>9.8049389018643003E-4</v>
          </cell>
        </row>
        <row r="379">
          <cell r="B379" t="str">
            <v>D-EH2R</v>
          </cell>
          <cell r="C379" t="str">
            <v>VAR_fin</v>
          </cell>
          <cell r="D379" t="str">
            <v>H2</v>
          </cell>
          <cell r="E379"/>
          <cell r="F379"/>
          <cell r="G379"/>
          <cell r="H379"/>
          <cell r="I379">
            <v>9.2726382594988238E-4</v>
          </cell>
          <cell r="J379">
            <v>9.8049389018643003E-4</v>
          </cell>
        </row>
        <row r="380">
          <cell r="B380" t="str">
            <v>D-EH2R</v>
          </cell>
          <cell r="C380" t="str">
            <v>VAR_ncap</v>
          </cell>
          <cell r="D380" t="str">
            <v>-</v>
          </cell>
          <cell r="E380"/>
          <cell r="F380"/>
          <cell r="G380"/>
          <cell r="H380"/>
          <cell r="I380">
            <v>1.29446893175708E-4</v>
          </cell>
          <cell r="J380">
            <v>5.7499713342358503E-5</v>
          </cell>
        </row>
        <row r="381">
          <cell r="B381" t="str">
            <v>D-EH2R</v>
          </cell>
          <cell r="C381" t="str">
            <v>VAR_cap</v>
          </cell>
          <cell r="D381" t="str">
            <v>-</v>
          </cell>
          <cell r="E381"/>
          <cell r="F381"/>
          <cell r="G381"/>
          <cell r="H381"/>
          <cell r="I381">
            <v>1.2951113294620801E-4</v>
          </cell>
          <cell r="J381">
            <v>1.01838024580084E-4</v>
          </cell>
        </row>
        <row r="382">
          <cell r="B382" t="str">
            <v>G-INTC1</v>
          </cell>
          <cell r="C382" t="str">
            <v>VAR_fout</v>
          </cell>
          <cell r="D382" t="str">
            <v>ELC13</v>
          </cell>
          <cell r="E382">
            <v>124.97858684493329</v>
          </cell>
          <cell r="F382">
            <v>139.77611923481015</v>
          </cell>
          <cell r="G382">
            <v>119.99667206521329</v>
          </cell>
          <cell r="H382">
            <v>128.83896326293441</v>
          </cell>
          <cell r="I382">
            <v>123.8970278031499</v>
          </cell>
          <cell r="J382">
            <v>89.676402844114023</v>
          </cell>
        </row>
        <row r="383">
          <cell r="B383" t="str">
            <v>G-INTC1</v>
          </cell>
          <cell r="C383" t="str">
            <v>VAR_fin</v>
          </cell>
          <cell r="D383" t="str">
            <v>ELC</v>
          </cell>
          <cell r="E383">
            <v>126.29474101419616</v>
          </cell>
          <cell r="F383">
            <v>143.39909316826723</v>
          </cell>
          <cell r="G383">
            <v>122.83972945384791</v>
          </cell>
          <cell r="H383">
            <v>131.41606321611886</v>
          </cell>
          <cell r="I383">
            <v>125.47065772885273</v>
          </cell>
          <cell r="J383">
            <v>90.169938700706524</v>
          </cell>
        </row>
        <row r="384">
          <cell r="B384" t="str">
            <v>G-INTC1</v>
          </cell>
          <cell r="C384" t="str">
            <v>VAR_ncap</v>
          </cell>
          <cell r="D384" t="str">
            <v>-</v>
          </cell>
          <cell r="E384">
            <v>4.5978239655777702E-8</v>
          </cell>
          <cell r="F384">
            <v>4.2329855219384398E-8</v>
          </cell>
          <cell r="G384">
            <v>4.8886313960120702E-8</v>
          </cell>
          <cell r="H384">
            <v>5.8752078829733498E-8</v>
          </cell>
          <cell r="I384">
            <v>1.4848919309343201E-7</v>
          </cell>
          <cell r="J384">
            <v>4.7125128686814698E-7</v>
          </cell>
        </row>
        <row r="385">
          <cell r="B385" t="str">
            <v>G-INTC1</v>
          </cell>
          <cell r="C385" t="str">
            <v>VAR_cap</v>
          </cell>
          <cell r="D385" t="str">
            <v>-</v>
          </cell>
          <cell r="E385">
            <v>15.305609183965201</v>
          </cell>
          <cell r="F385">
            <v>15.305609183965201</v>
          </cell>
          <cell r="G385">
            <v>15.305609183965201</v>
          </cell>
          <cell r="H385">
            <v>15.305609226511619</v>
          </cell>
          <cell r="I385">
            <v>15.305609379911688</v>
          </cell>
          <cell r="J385">
            <v>15.305609672241872</v>
          </cell>
        </row>
        <row r="386">
          <cell r="B386" t="str">
            <v>EHYD-RUNS00</v>
          </cell>
          <cell r="C386" t="str">
            <v>VAR_fout</v>
          </cell>
          <cell r="D386" t="str">
            <v>ELC35</v>
          </cell>
          <cell r="E386">
            <v>12.240000000062956</v>
          </cell>
          <cell r="F386">
            <v>12.242633040806673</v>
          </cell>
          <cell r="G386">
            <v>12.247396900123682</v>
          </cell>
          <cell r="H386">
            <v>12.255550729190077</v>
          </cell>
          <cell r="I386">
            <v>12.27183741343182</v>
          </cell>
          <cell r="J386">
            <v>12.288188974519473</v>
          </cell>
        </row>
        <row r="387">
          <cell r="B387" t="str">
            <v>EHYD-RUNS00</v>
          </cell>
          <cell r="C387" t="str">
            <v>VAR_fin</v>
          </cell>
          <cell r="D387" t="str">
            <v>HYDR</v>
          </cell>
          <cell r="E387">
            <v>12.240000000062956</v>
          </cell>
          <cell r="F387">
            <v>12.242633040806673</v>
          </cell>
          <cell r="G387">
            <v>12.247396900123682</v>
          </cell>
          <cell r="H387">
            <v>12.255550729190077</v>
          </cell>
          <cell r="I387">
            <v>12.27183741343182</v>
          </cell>
          <cell r="J387">
            <v>12.288188974519473</v>
          </cell>
        </row>
        <row r="388">
          <cell r="B388" t="str">
            <v>EHYD-RUNS00</v>
          </cell>
          <cell r="C388" t="str">
            <v>VAR_cap</v>
          </cell>
          <cell r="D388" t="str">
            <v>-</v>
          </cell>
          <cell r="E388">
            <v>0.85785999999999896</v>
          </cell>
          <cell r="F388">
            <v>0.88297936593724102</v>
          </cell>
          <cell r="G388">
            <v>0.89707999999999899</v>
          </cell>
          <cell r="H388">
            <v>0.89707999999999899</v>
          </cell>
          <cell r="I388">
            <v>0.89707999999999899</v>
          </cell>
          <cell r="J388">
            <v>0.89707999999999899</v>
          </cell>
        </row>
        <row r="389">
          <cell r="B389" t="str">
            <v>RHNS-SHSTG-CHPWOD</v>
          </cell>
          <cell r="C389" t="str">
            <v>VAR_fout</v>
          </cell>
          <cell r="D389" t="str">
            <v>AUX_RNS-CHPWOD_OUT</v>
          </cell>
          <cell r="E389">
            <v>4.7794714521795934E-5</v>
          </cell>
          <cell r="F389">
            <v>5.6986075343179367E-5</v>
          </cell>
          <cell r="G389">
            <v>2.7644226362997352E-5</v>
          </cell>
          <cell r="H389">
            <v>5.2695933343965655E-4</v>
          </cell>
          <cell r="I389">
            <v>2.1429571971360679E-3</v>
          </cell>
          <cell r="J389">
            <v>2.0740965782357801E-3</v>
          </cell>
        </row>
        <row r="390">
          <cell r="B390" t="str">
            <v>RHNS-SHSTG-CHPWOD</v>
          </cell>
          <cell r="C390" t="str">
            <v>VAR_fout</v>
          </cell>
          <cell r="D390" t="str">
            <v>RHNS_LTH_CHPWOD</v>
          </cell>
          <cell r="E390">
            <v>4.7794714521795853E-5</v>
          </cell>
          <cell r="F390">
            <v>5.7024066060074675E-5</v>
          </cell>
          <cell r="G390">
            <v>2.7673022432125457E-5</v>
          </cell>
          <cell r="H390">
            <v>5.2695933343965655E-4</v>
          </cell>
          <cell r="I390">
            <v>2.1429571971360614E-3</v>
          </cell>
          <cell r="J390">
            <v>2.0740965782357771E-3</v>
          </cell>
        </row>
        <row r="391">
          <cell r="B391" t="str">
            <v>RHNS-SHSTG-CHPWOD</v>
          </cell>
          <cell r="C391" t="str">
            <v>VAR_fin</v>
          </cell>
          <cell r="D391" t="str">
            <v>AUX_RNS-CHPWOD_IN</v>
          </cell>
          <cell r="E391">
            <v>3.7664108944214053E-5</v>
          </cell>
          <cell r="F391">
            <v>4.3821610420773572E-5</v>
          </cell>
          <cell r="G391">
            <v>2.2123471099746359E-5</v>
          </cell>
          <cell r="H391">
            <v>6.5948947032388289E-4</v>
          </cell>
          <cell r="I391">
            <v>2.5220350719646271E-3</v>
          </cell>
          <cell r="J391">
            <v>2.3053916715656199E-3</v>
          </cell>
        </row>
        <row r="392">
          <cell r="B392" t="str">
            <v>RHNS-SHSTG-CHPWOD</v>
          </cell>
          <cell r="C392" t="str">
            <v>VAR_fin</v>
          </cell>
          <cell r="D392" t="str">
            <v>RHNS_LTH_CHPWOD</v>
          </cell>
          <cell r="E392">
            <v>3.7664108944214053E-5</v>
          </cell>
          <cell r="F392">
            <v>4.3821610420773572E-5</v>
          </cell>
          <cell r="G392">
            <v>2.2123471099746359E-5</v>
          </cell>
          <cell r="H392">
            <v>6.5948947032388289E-4</v>
          </cell>
          <cell r="I392">
            <v>2.5220350719646271E-3</v>
          </cell>
          <cell r="J392">
            <v>2.3053916715656199E-3</v>
          </cell>
        </row>
        <row r="393">
          <cell r="B393" t="str">
            <v>RHNS-SHSTG-CHPWOD</v>
          </cell>
          <cell r="C393" t="str">
            <v>VAR_ncap</v>
          </cell>
          <cell r="D393" t="str">
            <v>-</v>
          </cell>
          <cell r="E393">
            <v>5.9538903614798097E-4</v>
          </cell>
          <cell r="F393">
            <v>1.45273735342155E-5</v>
          </cell>
          <cell r="G393">
            <v>2.2413896461435399E-5</v>
          </cell>
          <cell r="H393">
            <v>1.7826175093730701E-5</v>
          </cell>
          <cell r="I393">
            <v>4.9248913245924501E-5</v>
          </cell>
          <cell r="J393">
            <v>1.07938465401328E-4</v>
          </cell>
        </row>
        <row r="394">
          <cell r="B394" t="str">
            <v>RHNS-SHSTG-CHPWOD</v>
          </cell>
          <cell r="C394" t="str">
            <v>VAR_cap</v>
          </cell>
          <cell r="D394" t="str">
            <v>-</v>
          </cell>
          <cell r="E394">
            <v>5.9538903614798097E-4</v>
          </cell>
          <cell r="F394">
            <v>6.081725834755832E-4</v>
          </cell>
          <cell r="G394">
            <v>6.2589665795181469E-4</v>
          </cell>
          <cell r="H394">
            <v>6.364703401562391E-4</v>
          </cell>
          <cell r="I394">
            <v>8.2493401108548001E-4</v>
          </cell>
          <cell r="J394">
            <v>4.6390200387285205E-4</v>
          </cell>
        </row>
        <row r="395">
          <cell r="B395" t="str">
            <v>HPLOIL</v>
          </cell>
          <cell r="C395" t="str">
            <v>VAR_fout</v>
          </cell>
          <cell r="D395" t="str">
            <v>LTH</v>
          </cell>
          <cell r="E395">
            <v>0.18406860031035921</v>
          </cell>
          <cell r="F395">
            <v>2.0163612318194595</v>
          </cell>
          <cell r="G395">
            <v>4.8468271375182973E-4</v>
          </cell>
          <cell r="H395">
            <v>2.0082985295072589E-4</v>
          </cell>
          <cell r="I395">
            <v>1.0808568922339398E-4</v>
          </cell>
          <cell r="J395">
            <v>3.2612672102181112E-5</v>
          </cell>
        </row>
        <row r="396">
          <cell r="B396" t="str">
            <v>HPLOIL</v>
          </cell>
          <cell r="C396" t="str">
            <v>VAR_fout</v>
          </cell>
          <cell r="D396" t="str">
            <v>CO2_E</v>
          </cell>
          <cell r="E396">
            <v>15.876618038940901</v>
          </cell>
          <cell r="F396">
            <v>173.918838151366</v>
          </cell>
          <cell r="G396">
            <v>4.1805730599028403E-2</v>
          </cell>
          <cell r="H396">
            <v>1.7322339935976001E-2</v>
          </cell>
          <cell r="I396">
            <v>9.3228024789783603E-3</v>
          </cell>
          <cell r="J396">
            <v>2.81296721614942E-3</v>
          </cell>
        </row>
        <row r="397">
          <cell r="B397" t="str">
            <v>HPLOIL</v>
          </cell>
          <cell r="C397" t="str">
            <v>VAR_fin</v>
          </cell>
          <cell r="D397" t="str">
            <v>ELFO</v>
          </cell>
          <cell r="E397">
            <v>0.21542222576581893</v>
          </cell>
          <cell r="F397">
            <v>2.359821413180001</v>
          </cell>
          <cell r="G397">
            <v>5.6724193485791548E-4</v>
          </cell>
          <cell r="H397">
            <v>2.3503853373101739E-4</v>
          </cell>
          <cell r="I397">
            <v>1.2649664150581215E-4</v>
          </cell>
          <cell r="J397">
            <v>3.8167804832420892E-5</v>
          </cell>
        </row>
        <row r="398">
          <cell r="B398" t="str">
            <v>HPLOIL</v>
          </cell>
          <cell r="C398" t="str">
            <v>VAR_ncap</v>
          </cell>
          <cell r="D398" t="str">
            <v>-</v>
          </cell>
          <cell r="E398">
            <v>2.2097556313163699E-4</v>
          </cell>
          <cell r="F398">
            <v>0.215959428601742</v>
          </cell>
          <cell r="G398">
            <v>1.89086524789447E-6</v>
          </cell>
          <cell r="H398">
            <v>1.6991422031456201E-6</v>
          </cell>
          <cell r="I398">
            <v>6.4089336839454201E-6</v>
          </cell>
          <cell r="J398">
            <v>1.08440264179662E-4</v>
          </cell>
        </row>
        <row r="399">
          <cell r="B399" t="str">
            <v>HPLOIL</v>
          </cell>
          <cell r="C399" t="str">
            <v>VAR_cap</v>
          </cell>
          <cell r="D399" t="str">
            <v>-</v>
          </cell>
          <cell r="E399">
            <v>3.9794250776086962E-2</v>
          </cell>
          <cell r="F399">
            <v>0.25575341213036124</v>
          </cell>
          <cell r="G399">
            <v>1.0921529575784183E-3</v>
          </cell>
          <cell r="H399">
            <v>8.0248074188590812E-4</v>
          </cell>
          <cell r="I399">
            <v>4.0717355418699863E-4</v>
          </cell>
          <cell r="J399">
            <v>1.1628842227435681E-4</v>
          </cell>
        </row>
        <row r="400">
          <cell r="B400" t="str">
            <v>V2G</v>
          </cell>
          <cell r="C400" t="str">
            <v>VAR_fout</v>
          </cell>
          <cell r="D400" t="str">
            <v>ELC35</v>
          </cell>
          <cell r="E400"/>
          <cell r="F400"/>
          <cell r="G400"/>
          <cell r="H400">
            <v>2.6544745004587107E-2</v>
          </cell>
          <cell r="I400">
            <v>6.1594702743367327E-2</v>
          </cell>
          <cell r="J400">
            <v>2.0732094841709832</v>
          </cell>
        </row>
        <row r="401">
          <cell r="B401" t="str">
            <v>V2G</v>
          </cell>
          <cell r="C401" t="str">
            <v>VAR_fin</v>
          </cell>
          <cell r="D401" t="str">
            <v>T-ELC-Bus_c_BatSTGout_S1</v>
          </cell>
          <cell r="E401"/>
          <cell r="F401"/>
          <cell r="G401"/>
          <cell r="H401">
            <v>7.950708447558519E-4</v>
          </cell>
          <cell r="I401">
            <v>1.4037377623441285E-3</v>
          </cell>
          <cell r="J401">
            <v>1.0525959738567632E-3</v>
          </cell>
        </row>
        <row r="402">
          <cell r="B402" t="str">
            <v>V2G</v>
          </cell>
          <cell r="C402" t="str">
            <v>VAR_fin</v>
          </cell>
          <cell r="D402" t="str">
            <v>T-ELC-Bus_c_BatSTGout_S2</v>
          </cell>
          <cell r="E402"/>
          <cell r="F402"/>
          <cell r="G402"/>
          <cell r="H402">
            <v>6.9339705102927141E-4</v>
          </cell>
          <cell r="I402">
            <v>1.1867261428953333E-3</v>
          </cell>
          <cell r="J402">
            <v>8.2378165066530917E-4</v>
          </cell>
        </row>
        <row r="403">
          <cell r="B403" t="str">
            <v>V2G</v>
          </cell>
          <cell r="C403" t="str">
            <v>VAR_fin</v>
          </cell>
          <cell r="D403" t="str">
            <v>T-ELC-Bus_c_BatSTGout_S3</v>
          </cell>
          <cell r="E403"/>
          <cell r="F403"/>
          <cell r="G403"/>
          <cell r="H403">
            <v>1.0688710260174414E-4</v>
          </cell>
          <cell r="I403">
            <v>1.0396427034575134E-4</v>
          </cell>
          <cell r="J403">
            <v>9.9877903112578217E-5</v>
          </cell>
        </row>
        <row r="404">
          <cell r="B404" t="str">
            <v>V2G</v>
          </cell>
          <cell r="C404" t="str">
            <v>VAR_fin</v>
          </cell>
          <cell r="D404" t="str">
            <v>T-ELC-Bus_c_BatSTGout_S4</v>
          </cell>
          <cell r="E404"/>
          <cell r="F404"/>
          <cell r="G404"/>
          <cell r="H404">
            <v>1.2950771570131538E-4</v>
          </cell>
          <cell r="I404">
            <v>1.5951421863132995E-4</v>
          </cell>
          <cell r="J404">
            <v>9.9456343797947865E-5</v>
          </cell>
        </row>
        <row r="405">
          <cell r="B405" t="str">
            <v>V2G</v>
          </cell>
          <cell r="C405" t="str">
            <v>VAR_fin</v>
          </cell>
          <cell r="D405" t="str">
            <v>T-ELC-car-BatSTGOut_S1</v>
          </cell>
          <cell r="E405"/>
          <cell r="F405"/>
          <cell r="G405"/>
          <cell r="H405">
            <v>5.1718410372085799E-3</v>
          </cell>
          <cell r="I405">
            <v>1.2951200199474398E-2</v>
          </cell>
          <cell r="J405">
            <v>0.60327442311604684</v>
          </cell>
        </row>
        <row r="406">
          <cell r="B406" t="str">
            <v>V2G</v>
          </cell>
          <cell r="C406" t="str">
            <v>VAR_fin</v>
          </cell>
          <cell r="D406" t="str">
            <v>T-ELC-car-BatSTGOut_S2</v>
          </cell>
          <cell r="E406"/>
          <cell r="F406"/>
          <cell r="G406"/>
          <cell r="H406">
            <v>2.5092195753450017E-3</v>
          </cell>
          <cell r="I406">
            <v>8.4763436888129137E-3</v>
          </cell>
          <cell r="J406">
            <v>0.29751459995318125</v>
          </cell>
        </row>
        <row r="407">
          <cell r="B407" t="str">
            <v>V2G</v>
          </cell>
          <cell r="C407" t="str">
            <v>VAR_fin</v>
          </cell>
          <cell r="D407" t="str">
            <v>T-ELC-car-BatSTGOut_S3</v>
          </cell>
          <cell r="E407"/>
          <cell r="F407"/>
          <cell r="G407"/>
          <cell r="H407">
            <v>2.7056637597449636E-3</v>
          </cell>
          <cell r="I407">
            <v>8.5572207835081394E-3</v>
          </cell>
          <cell r="J407">
            <v>0.42045777928831107</v>
          </cell>
        </row>
        <row r="408">
          <cell r="B408" t="str">
            <v>V2G</v>
          </cell>
          <cell r="C408" t="str">
            <v>VAR_fin</v>
          </cell>
          <cell r="D408" t="str">
            <v>T-ELC-car-BatSTGOut_S4</v>
          </cell>
          <cell r="E408"/>
          <cell r="F408"/>
          <cell r="G408"/>
          <cell r="H408">
            <v>3.314906968994496E-3</v>
          </cell>
          <cell r="I408">
            <v>8.4728183660261382E-3</v>
          </cell>
          <cell r="J408">
            <v>0.30996319239295317</v>
          </cell>
        </row>
        <row r="409">
          <cell r="B409" t="str">
            <v>V2G</v>
          </cell>
          <cell r="C409" t="str">
            <v>VAR_fin</v>
          </cell>
          <cell r="D409" t="str">
            <v>T-ELC-car-PlgSTGOut_S1</v>
          </cell>
          <cell r="E409"/>
          <cell r="F409"/>
          <cell r="G409"/>
          <cell r="H409">
            <v>4.346238070275472E-4</v>
          </cell>
          <cell r="I409">
            <v>5.0842128120540575E-4</v>
          </cell>
          <cell r="J409">
            <v>4.7244336451680592E-4</v>
          </cell>
        </row>
        <row r="410">
          <cell r="B410" t="str">
            <v>V2G</v>
          </cell>
          <cell r="C410" t="str">
            <v>VAR_fin</v>
          </cell>
          <cell r="D410" t="str">
            <v>T-ELC-car-PlgSTGOut_S2</v>
          </cell>
          <cell r="E410"/>
          <cell r="F410"/>
          <cell r="G410"/>
          <cell r="H410">
            <v>5.9535563072976183E-5</v>
          </cell>
          <cell r="I410">
            <v>5.6259854798558473E-4</v>
          </cell>
          <cell r="J410">
            <v>4.8011642031403975E-4</v>
          </cell>
        </row>
        <row r="411">
          <cell r="B411" t="str">
            <v>V2G</v>
          </cell>
          <cell r="C411" t="str">
            <v>VAR_fin</v>
          </cell>
          <cell r="D411" t="str">
            <v>T-ELC-car-PlgSTGOut_S3</v>
          </cell>
          <cell r="E411"/>
          <cell r="F411"/>
          <cell r="G411"/>
          <cell r="H411">
            <v>4.4279611642971109E-3</v>
          </cell>
          <cell r="I411">
            <v>7.5018364408241944E-3</v>
          </cell>
          <cell r="J411">
            <v>0.42923413550452622</v>
          </cell>
        </row>
        <row r="412">
          <cell r="B412" t="str">
            <v>V2G</v>
          </cell>
          <cell r="C412" t="str">
            <v>VAR_fin</v>
          </cell>
          <cell r="D412" t="str">
            <v>T-ELC-TWSTGout_S1</v>
          </cell>
          <cell r="E412"/>
          <cell r="F412"/>
          <cell r="G412"/>
          <cell r="H412">
            <v>8.0564491465414268E-4</v>
          </cell>
          <cell r="I412">
            <v>1.4206830440191514E-3</v>
          </cell>
          <cell r="J412">
            <v>1.1924671725705069E-3</v>
          </cell>
        </row>
        <row r="413">
          <cell r="B413" t="str">
            <v>V2G</v>
          </cell>
          <cell r="C413" t="str">
            <v>VAR_fin</v>
          </cell>
          <cell r="D413" t="str">
            <v>T-ELC-car-PlgSTGOut_S4</v>
          </cell>
          <cell r="E413"/>
          <cell r="F413"/>
          <cell r="G413"/>
          <cell r="H413">
            <v>4.6024804652514986E-5</v>
          </cell>
          <cell r="I413">
            <v>1.0719567368137016E-3</v>
          </cell>
          <cell r="J413">
            <v>1.4123127859398349E-3</v>
          </cell>
        </row>
        <row r="414">
          <cell r="B414" t="str">
            <v>V2G</v>
          </cell>
          <cell r="C414" t="str">
            <v>VAR_fin</v>
          </cell>
          <cell r="D414" t="str">
            <v>T-ELC-TWSTGout_S2</v>
          </cell>
          <cell r="E414"/>
          <cell r="F414"/>
          <cell r="G414"/>
          <cell r="H414">
            <v>1.2861695224045354E-3</v>
          </cell>
          <cell r="I414">
            <v>1.7215816180917464E-3</v>
          </cell>
          <cell r="J414">
            <v>1.3450202405791186E-3</v>
          </cell>
        </row>
        <row r="415">
          <cell r="B415" t="str">
            <v>V2G</v>
          </cell>
          <cell r="C415" t="str">
            <v>VAR_fin</v>
          </cell>
          <cell r="D415" t="str">
            <v>T-ELC-TWSTGout_S3</v>
          </cell>
          <cell r="E415"/>
          <cell r="F415"/>
          <cell r="G415"/>
          <cell r="H415">
            <v>1.643308831771109E-3</v>
          </cell>
          <cell r="I415">
            <v>3.1227938544820151E-3</v>
          </cell>
          <cell r="J415">
            <v>2.0280091547136216E-3</v>
          </cell>
        </row>
        <row r="416">
          <cell r="B416" t="str">
            <v>V2G</v>
          </cell>
          <cell r="C416" t="str">
            <v>VAR_fin</v>
          </cell>
          <cell r="D416" t="str">
            <v>T-ELC-TWSTGout_S4</v>
          </cell>
          <cell r="E416"/>
          <cell r="F416"/>
          <cell r="G416"/>
          <cell r="H416">
            <v>1.7527946139747088E-3</v>
          </cell>
          <cell r="I416">
            <v>3.4906647338634952E-3</v>
          </cell>
          <cell r="J416">
            <v>3.2038395267686881E-3</v>
          </cell>
        </row>
        <row r="417">
          <cell r="B417" t="str">
            <v>V2G</v>
          </cell>
          <cell r="C417" t="str">
            <v>VAR_fin</v>
          </cell>
          <cell r="D417" t="str">
            <v>T-ELC-Bus_u_BatSTGout_S1</v>
          </cell>
          <cell r="E417"/>
          <cell r="F417"/>
          <cell r="G417"/>
          <cell r="H417">
            <v>5.1565302427901737E-5</v>
          </cell>
          <cell r="I417">
            <v>7.2543777309662261E-5</v>
          </cell>
          <cell r="J417">
            <v>6.0943321780698416E-5</v>
          </cell>
        </row>
        <row r="418">
          <cell r="B418" t="str">
            <v>V2G</v>
          </cell>
          <cell r="C418" t="str">
            <v>VAR_fin</v>
          </cell>
          <cell r="D418" t="str">
            <v>T-ELC-Bus_u_BatSTGout_S2</v>
          </cell>
          <cell r="E418"/>
          <cell r="F418"/>
          <cell r="G418"/>
          <cell r="H418">
            <v>4.3453950845241714E-5</v>
          </cell>
          <cell r="I418">
            <v>6.4949699324324921E-5</v>
          </cell>
          <cell r="J418">
            <v>5.4095891796026819E-5</v>
          </cell>
        </row>
        <row r="419">
          <cell r="B419" t="str">
            <v>V2G</v>
          </cell>
          <cell r="C419" t="str">
            <v>VAR_fin</v>
          </cell>
          <cell r="D419" t="str">
            <v>T-ELC-Bus_u_BatSTGout_S3</v>
          </cell>
          <cell r="E419"/>
          <cell r="F419"/>
          <cell r="G419"/>
          <cell r="H419">
            <v>2.326523324660671E-5</v>
          </cell>
          <cell r="I419">
            <v>3.3916555205498924E-5</v>
          </cell>
          <cell r="J419">
            <v>2.9422003069669468E-5</v>
          </cell>
        </row>
        <row r="420">
          <cell r="B420" t="str">
            <v>V2G</v>
          </cell>
          <cell r="C420" t="str">
            <v>VAR_fin</v>
          </cell>
          <cell r="D420" t="str">
            <v>T-ELC-Bus_u_BatSTGout_S4</v>
          </cell>
          <cell r="E420"/>
          <cell r="F420"/>
          <cell r="G420"/>
          <cell r="H420">
            <v>5.7657954412729404E-5</v>
          </cell>
          <cell r="I420">
            <v>8.5628336658134314E-5</v>
          </cell>
          <cell r="J420">
            <v>6.3775365597807472E-5</v>
          </cell>
        </row>
        <row r="421">
          <cell r="B421" t="str">
            <v>V2G</v>
          </cell>
          <cell r="C421" t="str">
            <v>VAR_fin</v>
          </cell>
          <cell r="D421" t="str">
            <v>T-ELC-LGV_BatSTGout</v>
          </cell>
          <cell r="E421"/>
          <cell r="F421"/>
          <cell r="G421"/>
          <cell r="H421">
            <v>2.7151741854497931E-4</v>
          </cell>
          <cell r="I421">
            <v>2.413509165568466E-4</v>
          </cell>
          <cell r="J421">
            <v>1.6311126790663277E-4</v>
          </cell>
        </row>
        <row r="422">
          <cell r="B422" t="str">
            <v>V2G</v>
          </cell>
          <cell r="C422" t="str">
            <v>VAR_fin</v>
          </cell>
          <cell r="D422" t="str">
            <v>T-ELC-HGV_BatSTGout</v>
          </cell>
          <cell r="E422"/>
          <cell r="F422"/>
          <cell r="G422"/>
          <cell r="H422">
            <v>2.6583042370579381E-4</v>
          </cell>
          <cell r="I422">
            <v>4.3714462140494095E-4</v>
          </cell>
          <cell r="J422">
            <v>2.2889945020350996E-4</v>
          </cell>
        </row>
        <row r="423">
          <cell r="B423" t="str">
            <v>V2G</v>
          </cell>
          <cell r="C423" t="str">
            <v>VAR_ncap</v>
          </cell>
          <cell r="D423" t="str">
            <v>-</v>
          </cell>
          <cell r="E423"/>
          <cell r="F423"/>
          <cell r="G423"/>
          <cell r="H423">
            <v>2.4106419582292501E-3</v>
          </cell>
          <cell r="I423">
            <v>6.7982501006136398E-2</v>
          </cell>
          <cell r="J423">
            <v>2.8124367364524101</v>
          </cell>
        </row>
        <row r="424">
          <cell r="B424" t="str">
            <v>V2G</v>
          </cell>
          <cell r="C424" t="str">
            <v>VAR_cap</v>
          </cell>
          <cell r="D424" t="str">
            <v>-</v>
          </cell>
          <cell r="E424"/>
          <cell r="F424"/>
          <cell r="G424"/>
          <cell r="H424">
            <v>2.4106419582292501E-3</v>
          </cell>
          <cell r="I424">
            <v>7.3165354082273121E-2</v>
          </cell>
          <cell r="J424">
            <v>2.8632695318370152</v>
          </cell>
        </row>
        <row r="425">
          <cell r="B425" t="str">
            <v>D-EBIO</v>
          </cell>
          <cell r="C425" t="str">
            <v>VAR_fout</v>
          </cell>
          <cell r="D425" t="str">
            <v>EBIO</v>
          </cell>
          <cell r="E425">
            <v>1.1839500683485047</v>
          </cell>
          <cell r="F425">
            <v>7.9114402371278266E-5</v>
          </cell>
          <cell r="G425">
            <v>5.3483989002591685E-4</v>
          </cell>
          <cell r="H425">
            <v>3.8144384851658634E-4</v>
          </cell>
          <cell r="I425">
            <v>2.5636217290082495E-4</v>
          </cell>
          <cell r="J425">
            <v>1.4918249457062955E-4</v>
          </cell>
        </row>
        <row r="426">
          <cell r="B426" t="str">
            <v>D-EBIO</v>
          </cell>
          <cell r="C426" t="str">
            <v>VAR_fin</v>
          </cell>
          <cell r="D426" t="str">
            <v>BIO</v>
          </cell>
          <cell r="E426">
            <v>1.1839500683485047</v>
          </cell>
          <cell r="F426">
            <v>7.9114402371278266E-5</v>
          </cell>
          <cell r="G426">
            <v>5.3483989002591685E-4</v>
          </cell>
          <cell r="H426">
            <v>3.8144384851658634E-4</v>
          </cell>
          <cell r="I426">
            <v>2.5636217290082495E-4</v>
          </cell>
          <cell r="J426">
            <v>1.4918249457062955E-4</v>
          </cell>
        </row>
        <row r="427">
          <cell r="B427" t="str">
            <v>G-INTC3</v>
          </cell>
          <cell r="C427" t="str">
            <v>VAR_fout</v>
          </cell>
          <cell r="D427" t="str">
            <v>ELC35</v>
          </cell>
          <cell r="E427">
            <v>142.58375660547711</v>
          </cell>
          <cell r="F427">
            <v>103.99531783937627</v>
          </cell>
          <cell r="G427">
            <v>94.82207691116632</v>
          </cell>
          <cell r="H427">
            <v>132.72431690781028</v>
          </cell>
          <cell r="I427">
            <v>136.82525620346317</v>
          </cell>
          <cell r="J427">
            <v>114.4406607064489</v>
          </cell>
        </row>
        <row r="428">
          <cell r="B428" t="str">
            <v>G-INTC3</v>
          </cell>
          <cell r="C428" t="str">
            <v>VAR_fout</v>
          </cell>
          <cell r="D428" t="str">
            <v>ELC3</v>
          </cell>
          <cell r="E428">
            <v>33.096069326897016</v>
          </cell>
          <cell r="F428">
            <v>71.049929180580278</v>
          </cell>
          <cell r="G428">
            <v>71.134210493015189</v>
          </cell>
          <cell r="H428">
            <v>41.666580701937029</v>
          </cell>
          <cell r="I428">
            <v>32.857153548501842</v>
          </cell>
          <cell r="J428">
            <v>25.449833959475246</v>
          </cell>
        </row>
        <row r="429">
          <cell r="B429" t="str">
            <v>G-INTC3</v>
          </cell>
          <cell r="C429" t="str">
            <v>VAR_fout</v>
          </cell>
          <cell r="D429" t="str">
            <v>ELC</v>
          </cell>
          <cell r="E429">
            <v>9.5410140753686111E-3</v>
          </cell>
          <cell r="F429">
            <v>9.8789811765926782E-4</v>
          </cell>
          <cell r="G429">
            <v>7.1643687284652188E-2</v>
          </cell>
          <cell r="H429">
            <v>8.143417670249866E-4</v>
          </cell>
          <cell r="I429">
            <v>9.3291962830655928E-4</v>
          </cell>
          <cell r="J429">
            <v>1.6566434965226424</v>
          </cell>
        </row>
        <row r="430">
          <cell r="B430" t="str">
            <v>G-INTC3</v>
          </cell>
          <cell r="C430" t="str">
            <v>VAR_fin</v>
          </cell>
          <cell r="D430" t="str">
            <v>ELC13</v>
          </cell>
          <cell r="E430">
            <v>179.36985938814777</v>
          </cell>
          <cell r="F430">
            <v>183.29564755250513</v>
          </cell>
          <cell r="G430">
            <v>173.28107976759028</v>
          </cell>
          <cell r="H430">
            <v>181.0189055626133</v>
          </cell>
          <cell r="I430">
            <v>174.23361915935573</v>
          </cell>
          <cell r="J430">
            <v>143.79342548864184</v>
          </cell>
        </row>
        <row r="431">
          <cell r="B431" t="str">
            <v>G-INTC3</v>
          </cell>
          <cell r="C431" t="str">
            <v>VAR_ncap</v>
          </cell>
          <cell r="D431" t="str">
            <v>-</v>
          </cell>
          <cell r="E431">
            <v>5.65194109379679E-8</v>
          </cell>
          <cell r="F431">
            <v>5.7652841562901898E-8</v>
          </cell>
          <cell r="G431">
            <v>6.5745980439087406E-8</v>
          </cell>
          <cell r="H431">
            <v>7.8780817320468305E-8</v>
          </cell>
          <cell r="I431">
            <v>1.9839352724385999E-7</v>
          </cell>
          <cell r="J431">
            <v>6.2776010642356303E-7</v>
          </cell>
        </row>
        <row r="432">
          <cell r="B432" t="str">
            <v>G-INTC3</v>
          </cell>
          <cell r="C432" t="str">
            <v>VAR_cap</v>
          </cell>
          <cell r="D432" t="str">
            <v>-</v>
          </cell>
          <cell r="E432">
            <v>13.914190167241101</v>
          </cell>
          <cell r="F432">
            <v>13.914190167241101</v>
          </cell>
          <cell r="G432">
            <v>13.914190167241101</v>
          </cell>
          <cell r="H432">
            <v>13.914190221831372</v>
          </cell>
          <cell r="I432">
            <v>13.91419042594015</v>
          </cell>
          <cell r="J432">
            <v>13.914190815826482</v>
          </cell>
        </row>
        <row r="433">
          <cell r="B433" t="str">
            <v>HPLBIO</v>
          </cell>
          <cell r="C433" t="str">
            <v>VAR_fout</v>
          </cell>
          <cell r="D433" t="str">
            <v>LTH</v>
          </cell>
          <cell r="E433">
            <v>0.90177434815225721</v>
          </cell>
          <cell r="F433">
            <v>6.0258739397119891E-5</v>
          </cell>
          <cell r="G433">
            <v>4.0736928531683291E-4</v>
          </cell>
          <cell r="H433">
            <v>2.905327572914853E-4</v>
          </cell>
          <cell r="I433">
            <v>1.9526231514223615E-4</v>
          </cell>
          <cell r="J433">
            <v>1.136272131685519E-4</v>
          </cell>
        </row>
        <row r="434">
          <cell r="B434" t="str">
            <v>HPLBIO</v>
          </cell>
          <cell r="C434" t="str">
            <v>VAR_fin</v>
          </cell>
          <cell r="D434" t="str">
            <v>EBIO</v>
          </cell>
          <cell r="E434">
            <v>1.1839500683485047</v>
          </cell>
          <cell r="F434">
            <v>7.9114402371278266E-5</v>
          </cell>
          <cell r="G434">
            <v>5.3483989002591685E-4</v>
          </cell>
          <cell r="H434">
            <v>3.8144384851658634E-4</v>
          </cell>
          <cell r="I434">
            <v>2.5636217290082495E-4</v>
          </cell>
          <cell r="J434">
            <v>1.4918249457062955E-4</v>
          </cell>
        </row>
        <row r="435">
          <cell r="B435" t="str">
            <v>HPLBIO</v>
          </cell>
          <cell r="C435" t="str">
            <v>VAR_ncap</v>
          </cell>
          <cell r="D435" t="str">
            <v>-</v>
          </cell>
          <cell r="E435">
            <v>5.4882190929585004E-6</v>
          </cell>
          <cell r="F435">
            <v>3.9080043971471604E-6</v>
          </cell>
          <cell r="G435">
            <v>2.82519157404296E-6</v>
          </cell>
          <cell r="H435">
            <v>3.9216047608348799E-6</v>
          </cell>
          <cell r="I435">
            <v>7.9435730485670895E-6</v>
          </cell>
          <cell r="J435">
            <v>3.3035739222541701E-6</v>
          </cell>
        </row>
        <row r="436">
          <cell r="B436" t="str">
            <v>HPLBIO</v>
          </cell>
          <cell r="C436" t="str">
            <v>VAR_cap</v>
          </cell>
          <cell r="D436" t="str">
            <v>-</v>
          </cell>
          <cell r="E436">
            <v>0.11438402887911994</v>
          </cell>
          <cell r="F436">
            <v>1.0503358896071097E-3</v>
          </cell>
          <cell r="G436">
            <v>1.0182361941541429E-3</v>
          </cell>
          <cell r="H436">
            <v>4.4825816965208404E-4</v>
          </cell>
          <cell r="I436">
            <v>1.9520602223230585E-4</v>
          </cell>
          <cell r="J436">
            <v>1.5529644645021452E-4</v>
          </cell>
        </row>
        <row r="437">
          <cell r="B437" t="str">
            <v>CHPGFC</v>
          </cell>
          <cell r="C437" t="str">
            <v>VAR_fout</v>
          </cell>
          <cell r="D437" t="str">
            <v>ELC35</v>
          </cell>
          <cell r="E437"/>
          <cell r="F437"/>
          <cell r="G437"/>
          <cell r="H437"/>
          <cell r="I437">
            <v>3.6302123951752981E-3</v>
          </cell>
          <cell r="J437">
            <v>7.6677294029311777E-4</v>
          </cell>
        </row>
        <row r="438">
          <cell r="B438" t="str">
            <v>CHPGFC</v>
          </cell>
          <cell r="C438" t="str">
            <v>VAR_fout</v>
          </cell>
          <cell r="D438" t="str">
            <v>LTH</v>
          </cell>
          <cell r="E438"/>
          <cell r="F438"/>
          <cell r="G438"/>
          <cell r="H438"/>
          <cell r="I438">
            <v>4.6285208038485065E-3</v>
          </cell>
          <cell r="J438">
            <v>1.0159741458883812E-3</v>
          </cell>
        </row>
        <row r="439">
          <cell r="B439" t="str">
            <v>CHPGFC</v>
          </cell>
          <cell r="C439" t="str">
            <v>VAR_fout</v>
          </cell>
          <cell r="D439" t="str">
            <v>CO2_E</v>
          </cell>
          <cell r="E439"/>
          <cell r="F439"/>
          <cell r="G439"/>
          <cell r="H439"/>
          <cell r="I439">
            <v>0.51185994771971699</v>
          </cell>
          <cell r="J439">
            <v>0.10811498458133</v>
          </cell>
        </row>
        <row r="440">
          <cell r="B440" t="str">
            <v>CHPGFC</v>
          </cell>
          <cell r="C440" t="str">
            <v>VAR_fin</v>
          </cell>
          <cell r="D440" t="str">
            <v>ENGA</v>
          </cell>
          <cell r="E440"/>
          <cell r="F440"/>
          <cell r="G440"/>
          <cell r="H440"/>
          <cell r="I440">
            <v>9.0755309879382347E-3</v>
          </cell>
          <cell r="J440">
            <v>1.9169323507327953E-3</v>
          </cell>
        </row>
        <row r="441">
          <cell r="B441" t="str">
            <v>CHPGFC</v>
          </cell>
          <cell r="C441" t="str">
            <v>VAR_ncap</v>
          </cell>
          <cell r="D441" t="str">
            <v>-</v>
          </cell>
          <cell r="E441"/>
          <cell r="F441"/>
          <cell r="G441"/>
          <cell r="H441"/>
          <cell r="I441">
            <v>1.44722522194807E-4</v>
          </cell>
          <cell r="J441">
            <v>6.7302073405333194E-8</v>
          </cell>
        </row>
        <row r="442">
          <cell r="B442" t="str">
            <v>CHPGFC</v>
          </cell>
          <cell r="C442" t="str">
            <v>VAR_cap</v>
          </cell>
          <cell r="D442" t="str">
            <v>-</v>
          </cell>
          <cell r="E442"/>
          <cell r="F442"/>
          <cell r="G442"/>
          <cell r="H442"/>
          <cell r="I442">
            <v>1.44722522194807E-4</v>
          </cell>
          <cell r="J442">
            <v>1.446592087706958E-4</v>
          </cell>
        </row>
        <row r="443">
          <cell r="B443" t="str">
            <v>G-INTC5</v>
          </cell>
          <cell r="C443" t="str">
            <v>VAR_fout</v>
          </cell>
          <cell r="D443" t="str">
            <v>ELC5</v>
          </cell>
          <cell r="E443">
            <v>260.98380184281564</v>
          </cell>
          <cell r="F443">
            <v>118.69259552303957</v>
          </cell>
          <cell r="G443">
            <v>109.40911355393253</v>
          </cell>
          <cell r="H443">
            <v>146.02743832849023</v>
          </cell>
          <cell r="I443">
            <v>155.14738127779171</v>
          </cell>
          <cell r="J443">
            <v>139.87540839261024</v>
          </cell>
        </row>
        <row r="444">
          <cell r="B444" t="str">
            <v>G-INTC5</v>
          </cell>
          <cell r="C444" t="str">
            <v>VAR_fout</v>
          </cell>
          <cell r="D444" t="str">
            <v>ELC13</v>
          </cell>
          <cell r="E444">
            <v>3.7893552978361812E-2</v>
          </cell>
          <cell r="F444">
            <v>8.0286538398423096E-4</v>
          </cell>
          <cell r="G444">
            <v>1.2182909911582747E-2</v>
          </cell>
          <cell r="H444">
            <v>7.399315800215747E-4</v>
          </cell>
          <cell r="I444">
            <v>7.4946929122898787E-4</v>
          </cell>
          <cell r="J444">
            <v>0.42157589727481948</v>
          </cell>
        </row>
        <row r="445">
          <cell r="B445" t="str">
            <v>G-INTC5</v>
          </cell>
          <cell r="C445" t="str">
            <v>VAR_fin</v>
          </cell>
          <cell r="D445" t="str">
            <v>ELC35</v>
          </cell>
          <cell r="E445">
            <v>269.26574388899746</v>
          </cell>
          <cell r="F445">
            <v>124.30678311403857</v>
          </cell>
          <cell r="G445">
            <v>114.34741351461678</v>
          </cell>
          <cell r="H445">
            <v>152.05221165856608</v>
          </cell>
          <cell r="I445">
            <v>160.39199033107545</v>
          </cell>
          <cell r="J445">
            <v>144.00805134087634</v>
          </cell>
        </row>
        <row r="446">
          <cell r="B446" t="str">
            <v>G-INTC5</v>
          </cell>
          <cell r="C446" t="str">
            <v>VAR_ncap</v>
          </cell>
          <cell r="D446" t="str">
            <v>-</v>
          </cell>
          <cell r="E446">
            <v>2.3767659918283401E-7</v>
          </cell>
          <cell r="F446">
            <v>2.7197893335613699E-7</v>
          </cell>
          <cell r="G446">
            <v>2.9329773621806001E-7</v>
          </cell>
          <cell r="H446">
            <v>3.4582853490498498E-7</v>
          </cell>
          <cell r="I446">
            <v>8.6686712377186902E-7</v>
          </cell>
          <cell r="J446">
            <v>2.7112266225467498E-6</v>
          </cell>
        </row>
        <row r="447">
          <cell r="B447" t="str">
            <v>G-INTC5</v>
          </cell>
          <cell r="C447" t="str">
            <v>VAR_cap</v>
          </cell>
          <cell r="D447" t="str">
            <v>-</v>
          </cell>
          <cell r="E447">
            <v>12.649263788401001</v>
          </cell>
          <cell r="F447">
            <v>12.649263788401001</v>
          </cell>
          <cell r="G447">
            <v>12.649263788401001</v>
          </cell>
          <cell r="H447">
            <v>12.649264030001248</v>
          </cell>
          <cell r="I447">
            <v>12.649264937182805</v>
          </cell>
          <cell r="J447">
            <v>12.649266635855039</v>
          </cell>
        </row>
        <row r="448">
          <cell r="B448" t="str">
            <v>D-SLFO</v>
          </cell>
          <cell r="C448" t="str">
            <v>VAR_fout</v>
          </cell>
          <cell r="D448" t="str">
            <v>CO2</v>
          </cell>
          <cell r="E448">
            <v>2267.78865391519</v>
          </cell>
          <cell r="F448">
            <v>2030.3035526751901</v>
          </cell>
          <cell r="G448">
            <v>2011.59434530831</v>
          </cell>
          <cell r="H448">
            <v>1472.28355173204</v>
          </cell>
          <cell r="I448">
            <v>917.80751855723497</v>
          </cell>
          <cell r="J448">
            <v>389.98420063097598</v>
          </cell>
        </row>
        <row r="449">
          <cell r="B449" t="str">
            <v>D-SLFO</v>
          </cell>
          <cell r="C449" t="str">
            <v>VAR_fout</v>
          </cell>
          <cell r="D449" t="str">
            <v>SLFO</v>
          </cell>
          <cell r="E449">
            <v>30.256634199787158</v>
          </cell>
          <cell r="F449">
            <v>27.088129134858487</v>
          </cell>
          <cell r="G449">
            <v>26.838598004878641</v>
          </cell>
          <cell r="H449">
            <v>19.643117686243265</v>
          </cell>
          <cell r="I449">
            <v>12.245389667935214</v>
          </cell>
          <cell r="J449">
            <v>5.2031954311528414</v>
          </cell>
        </row>
        <row r="450">
          <cell r="B450" t="str">
            <v>D-SLFO</v>
          </cell>
          <cell r="C450" t="str">
            <v>VAR_fin</v>
          </cell>
          <cell r="D450" t="str">
            <v>LFO</v>
          </cell>
          <cell r="E450">
            <v>30.770538044982221</v>
          </cell>
          <cell r="F450">
            <v>27.548216454208831</v>
          </cell>
          <cell r="G450">
            <v>27.29436018057412</v>
          </cell>
          <cell r="H450">
            <v>19.976710335577241</v>
          </cell>
          <cell r="I450">
            <v>12.453290618144296</v>
          </cell>
          <cell r="J450">
            <v>5.2915088281000813</v>
          </cell>
        </row>
        <row r="451">
          <cell r="B451" t="str">
            <v>D-SLFO</v>
          </cell>
          <cell r="C451" t="str">
            <v>VAR_fin</v>
          </cell>
          <cell r="D451" t="str">
            <v>BDS</v>
          </cell>
          <cell r="G451">
            <v>8.6921910819566745E-5</v>
          </cell>
          <cell r="H451">
            <v>4.2402202924818725E-5</v>
          </cell>
          <cell r="I451">
            <v>8.4934628951119291E-5</v>
          </cell>
          <cell r="J451">
            <v>6.2282186642801377E-5</v>
          </cell>
        </row>
        <row r="452">
          <cell r="B452" t="str">
            <v>D-RCOA</v>
          </cell>
          <cell r="C452" t="str">
            <v>VAR_fout</v>
          </cell>
          <cell r="D452" t="str">
            <v>CO2</v>
          </cell>
          <cell r="E452">
            <v>9.27002383197431</v>
          </cell>
          <cell r="F452">
            <v>9.2700116423689494</v>
          </cell>
          <cell r="G452">
            <v>2.4985298449806099</v>
          </cell>
          <cell r="H452">
            <v>0.56189103066610602</v>
          </cell>
        </row>
        <row r="453">
          <cell r="B453" t="str">
            <v>D-RCOA</v>
          </cell>
          <cell r="C453" t="str">
            <v>VAR_fout</v>
          </cell>
          <cell r="D453" t="str">
            <v>RCOA</v>
          </cell>
          <cell r="E453">
            <v>0.10000025708710156</v>
          </cell>
          <cell r="F453">
            <v>0.10000012559189816</v>
          </cell>
          <cell r="G453">
            <v>2.6952857011657113E-2</v>
          </cell>
          <cell r="H453">
            <v>6.0613919165707179E-3</v>
          </cell>
        </row>
        <row r="454">
          <cell r="B454" t="str">
            <v>D-RCOA</v>
          </cell>
          <cell r="C454" t="str">
            <v>VAR_fin</v>
          </cell>
          <cell r="D454" t="str">
            <v>COA</v>
          </cell>
          <cell r="E454">
            <v>0.10000025708710156</v>
          </cell>
          <cell r="F454">
            <v>0.10000012559189816</v>
          </cell>
          <cell r="G454">
            <v>2.6952857011657113E-2</v>
          </cell>
          <cell r="H454">
            <v>6.0613919165707179E-3</v>
          </cell>
        </row>
        <row r="455">
          <cell r="B455" t="str">
            <v>EHYD-RUN00</v>
          </cell>
          <cell r="C455" t="str">
            <v>VAR_fout</v>
          </cell>
          <cell r="D455" t="str">
            <v>ELC13</v>
          </cell>
          <cell r="E455">
            <v>54.39240024043805</v>
          </cell>
          <cell r="F455">
            <v>43.51913429090245</v>
          </cell>
          <cell r="G455">
            <v>53.298182776870398</v>
          </cell>
          <cell r="H455">
            <v>52.205116291091002</v>
          </cell>
          <cell r="I455">
            <v>50.018980036479384</v>
          </cell>
          <cell r="J455">
            <v>47.832901839289612</v>
          </cell>
        </row>
        <row r="456">
          <cell r="B456" t="str">
            <v>EHYD-RUN00</v>
          </cell>
          <cell r="C456" t="str">
            <v>VAR_fin</v>
          </cell>
          <cell r="D456" t="str">
            <v>HYDR</v>
          </cell>
          <cell r="E456">
            <v>54.39240024043805</v>
          </cell>
          <cell r="F456">
            <v>43.51913429090245</v>
          </cell>
          <cell r="G456">
            <v>53.298182776870398</v>
          </cell>
          <cell r="H456">
            <v>52.205116291091002</v>
          </cell>
          <cell r="I456">
            <v>50.018980036479384</v>
          </cell>
          <cell r="J456">
            <v>47.832901839289612</v>
          </cell>
        </row>
        <row r="457">
          <cell r="B457" t="str">
            <v>EHYD-RUN00</v>
          </cell>
          <cell r="C457" t="str">
            <v>VAR_cap</v>
          </cell>
          <cell r="D457" t="str">
            <v>-</v>
          </cell>
          <cell r="E457">
            <v>3.86687</v>
          </cell>
          <cell r="F457">
            <v>3.9240852000672399</v>
          </cell>
          <cell r="G457">
            <v>3.9610124303882599</v>
          </cell>
          <cell r="H457">
            <v>3.9647700000000001</v>
          </cell>
          <cell r="I457">
            <v>3.9647700000000001</v>
          </cell>
          <cell r="J457">
            <v>3.9647700000000001</v>
          </cell>
        </row>
        <row r="458">
          <cell r="B458" t="str">
            <v>HPLELCHP</v>
          </cell>
          <cell r="C458" t="str">
            <v>VAR_fout</v>
          </cell>
          <cell r="D458" t="str">
            <v>LTH</v>
          </cell>
          <cell r="F458">
            <v>3.8077027256651288</v>
          </cell>
          <cell r="G458">
            <v>5.1720431412476646</v>
          </cell>
          <cell r="H458">
            <v>10.823925581027291</v>
          </cell>
          <cell r="I458">
            <v>14.458150700225582</v>
          </cell>
          <cell r="J458">
            <v>17.237412103448559</v>
          </cell>
        </row>
        <row r="459">
          <cell r="B459" t="str">
            <v>HPLELCHP</v>
          </cell>
          <cell r="C459" t="str">
            <v>VAR_fin</v>
          </cell>
          <cell r="D459" t="str">
            <v>ELC35</v>
          </cell>
          <cell r="F459">
            <v>1.269234241888376</v>
          </cell>
          <cell r="G459">
            <v>1.7240143804158863</v>
          </cell>
          <cell r="H459">
            <v>3.6079751936757676</v>
          </cell>
          <cell r="I459">
            <v>4.8193835667418634</v>
          </cell>
          <cell r="J459">
            <v>5.7458040344828545</v>
          </cell>
        </row>
        <row r="460">
          <cell r="B460" t="str">
            <v>HPLELCHP</v>
          </cell>
          <cell r="C460" t="str">
            <v>VAR_ncap</v>
          </cell>
          <cell r="D460" t="str">
            <v>-</v>
          </cell>
          <cell r="F460">
            <v>0.234482851275641</v>
          </cell>
          <cell r="G460">
            <v>8.4009139677193201E-2</v>
          </cell>
          <cell r="H460">
            <v>0.34799231969819999</v>
          </cell>
          <cell r="I460">
            <v>0.232139668553173</v>
          </cell>
          <cell r="J460">
            <v>0.65809763793698095</v>
          </cell>
        </row>
        <row r="461">
          <cell r="B461" t="str">
            <v>HPLELCHP</v>
          </cell>
          <cell r="C461" t="str">
            <v>VAR_cap</v>
          </cell>
          <cell r="D461" t="str">
            <v>-</v>
          </cell>
          <cell r="F461">
            <v>0.234482851275641</v>
          </cell>
          <cell r="G461">
            <v>0.31849186532153817</v>
          </cell>
          <cell r="H461">
            <v>0.66648396418093281</v>
          </cell>
          <cell r="I461">
            <v>0.896969004834969</v>
          </cell>
          <cell r="J461">
            <v>1.0693759770437334</v>
          </cell>
        </row>
        <row r="462">
          <cell r="B462" t="str">
            <v>D-ITOT_LTH</v>
          </cell>
          <cell r="C462" t="str">
            <v>VAR_fout</v>
          </cell>
          <cell r="D462" t="str">
            <v>ITOT_LTH_DH</v>
          </cell>
          <cell r="E462">
            <v>7.1200062969018081</v>
          </cell>
          <cell r="F462">
            <v>7.6289086471411247</v>
          </cell>
          <cell r="G462">
            <v>7.3667575989288867</v>
          </cell>
          <cell r="H462">
            <v>8.412900997020218</v>
          </cell>
          <cell r="I462">
            <v>10.199634535212882</v>
          </cell>
          <cell r="J462">
            <v>12.012363293733905</v>
          </cell>
        </row>
        <row r="463">
          <cell r="B463" t="str">
            <v>D-ITOT_LTH</v>
          </cell>
          <cell r="C463" t="str">
            <v>VAR_fin</v>
          </cell>
          <cell r="D463" t="str">
            <v>LTH</v>
          </cell>
          <cell r="E463">
            <v>7.7403425360671569</v>
          </cell>
          <cell r="F463">
            <v>8.2914037563185961</v>
          </cell>
          <cell r="G463">
            <v>8.0033324288590659</v>
          </cell>
          <cell r="H463">
            <v>9.1338760997275426</v>
          </cell>
          <cell r="I463">
            <v>11.059213255930862</v>
          </cell>
          <cell r="J463">
            <v>13.007658019493293</v>
          </cell>
        </row>
        <row r="464">
          <cell r="B464" t="str">
            <v>D-ITOT_LTH</v>
          </cell>
          <cell r="C464" t="str">
            <v>VAR_ncap</v>
          </cell>
          <cell r="D464" t="str">
            <v>-</v>
          </cell>
          <cell r="E464">
            <v>0.79547235716372899</v>
          </cell>
          <cell r="F464">
            <v>1.7068575698225199E-8</v>
          </cell>
          <cell r="G464">
            <v>1.94516682357539E-8</v>
          </cell>
          <cell r="H464">
            <v>2.2347461347756999E-8</v>
          </cell>
          <cell r="I464">
            <v>4.1257499357470701E-8</v>
          </cell>
          <cell r="J464">
            <v>5.1849612098882401E-8</v>
          </cell>
        </row>
        <row r="465">
          <cell r="B465" t="str">
            <v>D-ITOT_LTH</v>
          </cell>
          <cell r="C465" t="str">
            <v>VAR_cap</v>
          </cell>
          <cell r="D465" t="str">
            <v>-</v>
          </cell>
          <cell r="E465">
            <v>0.79547235716372899</v>
          </cell>
          <cell r="F465">
            <v>0.79547237423230499</v>
          </cell>
          <cell r="G465">
            <v>0.79547239368397304</v>
          </cell>
          <cell r="H465">
            <v>0.79547241603143504</v>
          </cell>
          <cell r="I465">
            <v>0.79547249614641002</v>
          </cell>
          <cell r="J465">
            <v>0.79547254799602196</v>
          </cell>
        </row>
        <row r="466">
          <cell r="B466" t="str">
            <v>D-IH2</v>
          </cell>
          <cell r="C466" t="str">
            <v>VAR_fout</v>
          </cell>
          <cell r="D466" t="str">
            <v>IH2</v>
          </cell>
          <cell r="H466">
            <v>7.2565176354873653E-2</v>
          </cell>
          <cell r="I466">
            <v>0.58882568741350894</v>
          </cell>
          <cell r="J466">
            <v>1.3900536889635682</v>
          </cell>
        </row>
        <row r="467">
          <cell r="B467" t="str">
            <v>D-IH2</v>
          </cell>
          <cell r="C467" t="str">
            <v>VAR_fin</v>
          </cell>
          <cell r="D467" t="str">
            <v>H2</v>
          </cell>
          <cell r="H467">
            <v>7.3118006024965362E-2</v>
          </cell>
          <cell r="I467">
            <v>0.59331158997539879</v>
          </cell>
          <cell r="J467">
            <v>1.4006436573324348</v>
          </cell>
        </row>
        <row r="468">
          <cell r="B468" t="str">
            <v>D-IH2</v>
          </cell>
          <cell r="C468" t="str">
            <v>VAR_ncap</v>
          </cell>
          <cell r="D468" t="str">
            <v>-</v>
          </cell>
          <cell r="H468">
            <v>4.2975474051232098E-3</v>
          </cell>
          <cell r="I468">
            <v>1.8097250234418199E-2</v>
          </cell>
          <cell r="J468">
            <v>4.8024067434276799E-2</v>
          </cell>
        </row>
        <row r="469">
          <cell r="B469" t="str">
            <v>D-IH2</v>
          </cell>
          <cell r="C469" t="str">
            <v>VAR_cap</v>
          </cell>
          <cell r="D469" t="str">
            <v>-</v>
          </cell>
          <cell r="H469">
            <v>4.2975474051232098E-3</v>
          </cell>
          <cell r="I469">
            <v>3.4375044601040197E-2</v>
          </cell>
          <cell r="J469">
            <v>8.2399112035316996E-2</v>
          </cell>
        </row>
        <row r="470">
          <cell r="B470" t="str">
            <v>RHEM-ESOLPV</v>
          </cell>
          <cell r="C470" t="str">
            <v>VAR_fout</v>
          </cell>
          <cell r="D470" t="str">
            <v>RHEM_SOL_ELC</v>
          </cell>
          <cell r="E470">
            <v>0.86248322578584768</v>
          </cell>
          <cell r="F470">
            <v>1.2875827103431521</v>
          </cell>
          <cell r="G470">
            <v>2.0966024635998251</v>
          </cell>
          <cell r="H470">
            <v>2.438902364490168</v>
          </cell>
          <cell r="I470">
            <v>2.6940685373389708</v>
          </cell>
          <cell r="J470">
            <v>2.9759309185788649</v>
          </cell>
        </row>
        <row r="471">
          <cell r="B471" t="str">
            <v>RHEM-ESOLPV</v>
          </cell>
          <cell r="C471" t="str">
            <v>VAR_fin</v>
          </cell>
          <cell r="D471" t="str">
            <v>SOL</v>
          </cell>
          <cell r="E471">
            <v>0.86248322578584768</v>
          </cell>
          <cell r="F471">
            <v>1.2875827103431521</v>
          </cell>
          <cell r="G471">
            <v>2.0966024635998251</v>
          </cell>
          <cell r="H471">
            <v>2.438902364490168</v>
          </cell>
          <cell r="I471">
            <v>2.6940685373389708</v>
          </cell>
          <cell r="J471">
            <v>2.9759309185788649</v>
          </cell>
        </row>
        <row r="472">
          <cell r="B472" t="str">
            <v>RHEM-ESOLPV</v>
          </cell>
          <cell r="C472" t="str">
            <v>VAR_fin</v>
          </cell>
          <cell r="D472" t="str">
            <v>SOLPVC</v>
          </cell>
          <cell r="E472">
            <v>0.86248322578584802</v>
          </cell>
          <cell r="F472">
            <v>1.2875827103431501</v>
          </cell>
          <cell r="G472">
            <v>2.0966024635998299</v>
          </cell>
          <cell r="H472">
            <v>2.4389023644901702</v>
          </cell>
          <cell r="I472">
            <v>2.6940685373389699</v>
          </cell>
          <cell r="J472">
            <v>2.9759309185788601</v>
          </cell>
        </row>
        <row r="473">
          <cell r="B473" t="str">
            <v>RHEM-ESOLPV</v>
          </cell>
          <cell r="C473" t="str">
            <v>VAR_ncap</v>
          </cell>
          <cell r="D473" t="str">
            <v>-</v>
          </cell>
          <cell r="F473">
            <v>4.6719061656929901E-8</v>
          </cell>
          <cell r="G473">
            <v>0.185794776004052</v>
          </cell>
          <cell r="H473">
            <v>4.58476176468244E-2</v>
          </cell>
          <cell r="I473">
            <v>0.26268120791570099</v>
          </cell>
          <cell r="J473">
            <v>0.48421234735283503</v>
          </cell>
        </row>
        <row r="474">
          <cell r="B474" t="str">
            <v>RHEM-ESOLPV</v>
          </cell>
          <cell r="C474" t="str">
            <v>VAR_cap</v>
          </cell>
          <cell r="D474" t="str">
            <v>-</v>
          </cell>
          <cell r="E474">
            <v>0.27424799999999999</v>
          </cell>
          <cell r="F474">
            <v>0.4389453641954747</v>
          </cell>
          <cell r="G474">
            <v>0.66894282272311301</v>
          </cell>
          <cell r="H474">
            <v>0.70306565262942</v>
          </cell>
          <cell r="I474">
            <v>0.77662224964433801</v>
          </cell>
          <cell r="J474">
            <v>0.85787415743714601</v>
          </cell>
        </row>
        <row r="475">
          <cell r="B475" t="str">
            <v>HPLNUC</v>
          </cell>
          <cell r="C475" t="str">
            <v>VAR_fout</v>
          </cell>
          <cell r="D475" t="str">
            <v>LTH</v>
          </cell>
          <cell r="E475">
            <v>1.4500030857835837</v>
          </cell>
          <cell r="F475">
            <v>3.8017358422193577</v>
          </cell>
          <cell r="G475">
            <v>3.8007227666134371</v>
          </cell>
          <cell r="H475">
            <v>1.0482700908780695</v>
          </cell>
        </row>
        <row r="476">
          <cell r="B476" t="str">
            <v>HPLNUC</v>
          </cell>
          <cell r="C476" t="str">
            <v>VAR_fin</v>
          </cell>
          <cell r="D476" t="str">
            <v>URN</v>
          </cell>
          <cell r="E476">
            <v>1.4500030857835837</v>
          </cell>
          <cell r="F476">
            <v>3.8017358422193577</v>
          </cell>
          <cell r="G476">
            <v>3.8007227666134371</v>
          </cell>
          <cell r="H476">
            <v>1.0482700908780695</v>
          </cell>
        </row>
        <row r="477">
          <cell r="B477" t="str">
            <v>HPLNUC</v>
          </cell>
          <cell r="C477" t="str">
            <v>VAR_cap</v>
          </cell>
          <cell r="D477" t="str">
            <v>-</v>
          </cell>
          <cell r="E477">
            <v>0.120558721922211</v>
          </cell>
          <cell r="F477">
            <v>0.120558721922211</v>
          </cell>
          <cell r="G477">
            <v>0.120558721922211</v>
          </cell>
          <cell r="H477">
            <v>0.11197225056919</v>
          </cell>
          <cell r="I477">
            <v>1.56851844506808E-2</v>
          </cell>
        </row>
        <row r="478">
          <cell r="B478" t="str">
            <v>ITOT-CHPWODCCS</v>
          </cell>
          <cell r="C478" t="str">
            <v>VAR_fin</v>
          </cell>
          <cell r="D478" t="str">
            <v>IWOD</v>
          </cell>
          <cell r="I478">
            <v>1.1737768484543066E-4</v>
          </cell>
          <cell r="J478">
            <v>6.1363959274520714E-5</v>
          </cell>
        </row>
        <row r="479">
          <cell r="B479" t="str">
            <v>SUP_WODBIO</v>
          </cell>
          <cell r="C479" t="str">
            <v>VAR_fout</v>
          </cell>
          <cell r="D479" t="str">
            <v>ELC35</v>
          </cell>
          <cell r="F479">
            <v>2.7236681808974721E-7</v>
          </cell>
          <cell r="G479">
            <v>3.2663362069849323E-6</v>
          </cell>
          <cell r="H479">
            <v>4.0482029516028612E-6</v>
          </cell>
          <cell r="I479">
            <v>8.6938024110016772E-6</v>
          </cell>
          <cell r="J479">
            <v>9.2449587076480452E-6</v>
          </cell>
        </row>
        <row r="480">
          <cell r="B480" t="str">
            <v>SUP_WODBIO</v>
          </cell>
          <cell r="C480" t="str">
            <v>VAR_fout</v>
          </cell>
          <cell r="D480" t="str">
            <v>BIO</v>
          </cell>
          <cell r="F480">
            <v>5.014263553963916E-5</v>
          </cell>
          <cell r="G480">
            <v>1.0966805344786112E-4</v>
          </cell>
          <cell r="H480">
            <v>1.2397891646792868E-4</v>
          </cell>
          <cell r="I480">
            <v>2.1734506027504169E-4</v>
          </cell>
          <cell r="J480">
            <v>2.3112396769120076E-4</v>
          </cell>
        </row>
        <row r="481">
          <cell r="B481" t="str">
            <v>SUP_WODBIO</v>
          </cell>
          <cell r="C481" t="str">
            <v>VAR_fout</v>
          </cell>
          <cell r="D481" t="str">
            <v>LTH</v>
          </cell>
          <cell r="F481">
            <v>6.0171162647566978E-6</v>
          </cell>
          <cell r="G481">
            <v>1.3160166413743348E-5</v>
          </cell>
          <cell r="H481">
            <v>1.4877469976151449E-5</v>
          </cell>
          <cell r="I481">
            <v>2.6081407233005025E-5</v>
          </cell>
          <cell r="J481">
            <v>2.7734876122944114E-5</v>
          </cell>
        </row>
        <row r="482">
          <cell r="B482" t="str">
            <v>SUP_WODBIO</v>
          </cell>
          <cell r="C482" t="str">
            <v>VAR_fin</v>
          </cell>
          <cell r="D482" t="str">
            <v>CWOD</v>
          </cell>
          <cell r="F482">
            <v>6.769255797851291E-5</v>
          </cell>
          <cell r="G482">
            <v>1.4805187215461262E-4</v>
          </cell>
          <cell r="H482">
            <v>1.6737153723170371E-4</v>
          </cell>
          <cell r="I482">
            <v>2.9341583137130621E-4</v>
          </cell>
          <cell r="J482">
            <v>3.1201735638312125E-4</v>
          </cell>
        </row>
        <row r="483">
          <cell r="B483" t="str">
            <v>SUP_WODBIO</v>
          </cell>
          <cell r="C483" t="str">
            <v>VAR_ncap</v>
          </cell>
          <cell r="D483" t="str">
            <v>-</v>
          </cell>
          <cell r="E483">
            <v>3.7118756939332398E-7</v>
          </cell>
          <cell r="F483">
            <v>1.22723251616021E-5</v>
          </cell>
          <cell r="G483">
            <v>7.6527459637188396E-7</v>
          </cell>
          <cell r="H483">
            <v>2.11418114086143E-7</v>
          </cell>
          <cell r="I483">
            <v>3.7258868757690802E-6</v>
          </cell>
          <cell r="J483">
            <v>4.71074711850913E-6</v>
          </cell>
        </row>
        <row r="484">
          <cell r="B484" t="str">
            <v>SUP_WODBIO</v>
          </cell>
          <cell r="C484" t="str">
            <v>VAR_cap</v>
          </cell>
          <cell r="D484" t="str">
            <v>-</v>
          </cell>
          <cell r="E484">
            <v>3.7118756939332398E-7</v>
          </cell>
          <cell r="F484">
            <v>1.2611432402839964E-5</v>
          </cell>
          <cell r="G484">
            <v>1.3328616940969415E-5</v>
          </cell>
          <cell r="H484">
            <v>1.3421722102196367E-5</v>
          </cell>
          <cell r="I484">
            <v>1.7217083783094799E-5</v>
          </cell>
          <cell r="J484">
            <v>1.3573317726906076E-5</v>
          </cell>
        </row>
        <row r="485">
          <cell r="B485" t="str">
            <v>D-RLFO</v>
          </cell>
          <cell r="C485" t="str">
            <v>VAR_fout</v>
          </cell>
          <cell r="D485" t="str">
            <v>CO2</v>
          </cell>
          <cell r="E485">
            <v>4514.4824243991197</v>
          </cell>
          <cell r="F485">
            <v>3846.5256430904701</v>
          </cell>
          <cell r="G485">
            <v>3759.02184530365</v>
          </cell>
          <cell r="H485">
            <v>2459.9452613243502</v>
          </cell>
          <cell r="I485">
            <v>1305.95849287279</v>
          </cell>
          <cell r="J485">
            <v>429.479741625636</v>
          </cell>
        </row>
        <row r="486">
          <cell r="B486" t="str">
            <v>D-RLFO</v>
          </cell>
          <cell r="C486" t="str">
            <v>VAR_fout</v>
          </cell>
          <cell r="D486" t="str">
            <v>RLFO</v>
          </cell>
          <cell r="E486">
            <v>60.231822344023747</v>
          </cell>
          <cell r="F486">
            <v>51.320002471201079</v>
          </cell>
          <cell r="G486">
            <v>50.152620247942089</v>
          </cell>
          <cell r="H486">
            <v>32.820412576821269</v>
          </cell>
          <cell r="I486">
            <v>17.424065854459247</v>
          </cell>
          <cell r="J486">
            <v>5.7301417538678239</v>
          </cell>
        </row>
        <row r="487">
          <cell r="B487" t="str">
            <v>D-RLFO</v>
          </cell>
          <cell r="C487" t="str">
            <v>VAR_fin</v>
          </cell>
          <cell r="D487" t="str">
            <v>LFO</v>
          </cell>
          <cell r="E487">
            <v>61.254849720476543</v>
          </cell>
          <cell r="F487">
            <v>52.191664085352329</v>
          </cell>
          <cell r="G487">
            <v>51.004366964771322</v>
          </cell>
          <cell r="H487">
            <v>33.377819013898893</v>
          </cell>
          <cell r="I487">
            <v>17.719925276428622</v>
          </cell>
          <cell r="J487">
            <v>5.8274049067250475</v>
          </cell>
        </row>
        <row r="488">
          <cell r="B488" t="str">
            <v>D-RLFO</v>
          </cell>
          <cell r="C488" t="str">
            <v>VAR_fin</v>
          </cell>
          <cell r="D488" t="str">
            <v>BDS</v>
          </cell>
          <cell r="G488">
            <v>8.714122485598634E-5</v>
          </cell>
          <cell r="H488">
            <v>4.2752833779816775E-5</v>
          </cell>
          <cell r="I488">
            <v>8.5407267490576107E-5</v>
          </cell>
          <cell r="J488">
            <v>6.2350205541586109E-5</v>
          </cell>
        </row>
        <row r="489">
          <cell r="B489" t="str">
            <v>G-INTC-EXP00-IT</v>
          </cell>
          <cell r="C489" t="str">
            <v>VAR_fout</v>
          </cell>
          <cell r="D489" t="str">
            <v>ELC_E-IT</v>
          </cell>
          <cell r="E489">
            <v>71.694107738046725</v>
          </cell>
          <cell r="F489">
            <v>35.425525069208767</v>
          </cell>
          <cell r="G489">
            <v>54.795384897914182</v>
          </cell>
          <cell r="H489">
            <v>55.615952710311433</v>
          </cell>
          <cell r="I489">
            <v>23.788463745500234</v>
          </cell>
          <cell r="J489">
            <v>16.31789866474163</v>
          </cell>
        </row>
        <row r="490">
          <cell r="B490" t="str">
            <v>G-INTC-EXP00-IT</v>
          </cell>
          <cell r="C490" t="str">
            <v>VAR_fin</v>
          </cell>
          <cell r="D490" t="str">
            <v>ELC</v>
          </cell>
          <cell r="E490">
            <v>71.694107738046725</v>
          </cell>
          <cell r="F490">
            <v>35.425525069208767</v>
          </cell>
          <cell r="G490">
            <v>54.795384897914182</v>
          </cell>
          <cell r="H490">
            <v>55.615952710311433</v>
          </cell>
          <cell r="I490">
            <v>23.788463745500234</v>
          </cell>
          <cell r="J490">
            <v>16.31789866474163</v>
          </cell>
        </row>
        <row r="491">
          <cell r="B491" t="str">
            <v>G-INTC-EXP00-IT</v>
          </cell>
          <cell r="C491" t="str">
            <v>VAR_ncap</v>
          </cell>
          <cell r="D491" t="str">
            <v>-</v>
          </cell>
          <cell r="E491">
            <v>5.5268980454375099E-7</v>
          </cell>
          <cell r="F491">
            <v>5.2699717684875901E-7</v>
          </cell>
          <cell r="G491">
            <v>5.4184128525088903E-7</v>
          </cell>
          <cell r="H491">
            <v>4.1850357256448799E-7</v>
          </cell>
          <cell r="I491">
            <v>6.2055332171471095E-7</v>
          </cell>
          <cell r="J491">
            <v>9.6272267226275405E-7</v>
          </cell>
        </row>
        <row r="492">
          <cell r="B492" t="str">
            <v>G-INTC-EXP00-IT</v>
          </cell>
          <cell r="C492" t="str">
            <v>VAR_cap</v>
          </cell>
          <cell r="D492" t="str">
            <v>-</v>
          </cell>
          <cell r="E492">
            <v>3.7499986301223096</v>
          </cell>
          <cell r="F492">
            <v>3.749997534302369</v>
          </cell>
          <cell r="G492">
            <v>3.7499972761082767</v>
          </cell>
          <cell r="H492">
            <v>3.7499976354783646</v>
          </cell>
          <cell r="I492">
            <v>2.400000019121959</v>
          </cell>
          <cell r="J492">
            <v>2.4000001413991043</v>
          </cell>
        </row>
        <row r="493">
          <cell r="B493" t="str">
            <v>EWOD-CCS</v>
          </cell>
          <cell r="C493" t="str">
            <v>VAR_fin</v>
          </cell>
          <cell r="D493" t="str">
            <v>EWOD</v>
          </cell>
          <cell r="I493">
            <v>1.1771180140668527E-4</v>
          </cell>
          <cell r="J493">
            <v>6.1380183054278778E-5</v>
          </cell>
        </row>
        <row r="494">
          <cell r="B494" t="str">
            <v>EOIL-ENG</v>
          </cell>
          <cell r="C494" t="str">
            <v>VAR_fout</v>
          </cell>
          <cell r="D494" t="str">
            <v>ELC35</v>
          </cell>
          <cell r="E494">
            <v>3.9600785401259067E-2</v>
          </cell>
          <cell r="F494">
            <v>1.1671129599295838E-4</v>
          </cell>
          <cell r="G494">
            <v>9.4355031355324828E-4</v>
          </cell>
          <cell r="H494">
            <v>4.2632836176461725E-4</v>
          </cell>
          <cell r="I494">
            <v>9.8006495348749241E-4</v>
          </cell>
          <cell r="J494">
            <v>3.091804900050328E-4</v>
          </cell>
        </row>
        <row r="495">
          <cell r="B495" t="str">
            <v>EOIL-ENG</v>
          </cell>
          <cell r="C495" t="str">
            <v>VAR_fout</v>
          </cell>
          <cell r="D495" t="str">
            <v>CO2_E</v>
          </cell>
          <cell r="E495">
            <v>8.5261013503076803</v>
          </cell>
          <cell r="F495">
            <v>7.0261263227334003E-2</v>
          </cell>
          <cell r="G495">
            <v>0.25824139175187399</v>
          </cell>
          <cell r="H495">
            <v>0.110462321424972</v>
          </cell>
          <cell r="I495">
            <v>0.22443691863389001</v>
          </cell>
          <cell r="J495">
            <v>7.3535586302093003E-2</v>
          </cell>
        </row>
        <row r="496">
          <cell r="B496" t="str">
            <v>EOIL-ENG</v>
          </cell>
          <cell r="C496" t="str">
            <v>VAR_fin</v>
          </cell>
          <cell r="D496" t="str">
            <v>ELFO</v>
          </cell>
          <cell r="E496">
            <v>0.11568658548585721</v>
          </cell>
          <cell r="F496">
            <v>9.5334142777929454E-4</v>
          </cell>
          <cell r="G496">
            <v>3.5039537551136216E-3</v>
          </cell>
          <cell r="H496">
            <v>1.4988103314107512E-3</v>
          </cell>
          <cell r="I496">
            <v>3.0452770506633644E-3</v>
          </cell>
          <cell r="J496">
            <v>9.9776914928213041E-4</v>
          </cell>
        </row>
        <row r="497">
          <cell r="B497" t="str">
            <v>EOIL-ENG</v>
          </cell>
          <cell r="C497" t="str">
            <v>VAR_ncap</v>
          </cell>
          <cell r="D497" t="str">
            <v>-</v>
          </cell>
          <cell r="F497">
            <v>1.0093178318607E-6</v>
          </cell>
          <cell r="G497">
            <v>2.3156480671605402E-6</v>
          </cell>
          <cell r="H497">
            <v>2.3383639973981001E-6</v>
          </cell>
          <cell r="I497">
            <v>2.24241948400791E-4</v>
          </cell>
          <cell r="J497">
            <v>2.8271527802365899E-6</v>
          </cell>
        </row>
        <row r="498">
          <cell r="B498" t="str">
            <v>EOIL-ENG</v>
          </cell>
          <cell r="C498" t="str">
            <v>VAR_cap</v>
          </cell>
          <cell r="D498" t="str">
            <v>-</v>
          </cell>
          <cell r="E498">
            <v>1.0496743960131005E-2</v>
          </cell>
          <cell r="F498">
            <v>7.3386194271395089E-4</v>
          </cell>
          <cell r="G498">
            <v>7.3001541924561791E-4</v>
          </cell>
          <cell r="H498">
            <v>7.2934086473993003E-4</v>
          </cell>
          <cell r="I498">
            <v>9.6374135356846243E-4</v>
          </cell>
          <cell r="J498">
            <v>2.3980733811629839E-4</v>
          </cell>
        </row>
        <row r="499">
          <cell r="B499" t="str">
            <v>D-SWOD</v>
          </cell>
          <cell r="C499" t="str">
            <v>VAR_fout</v>
          </cell>
          <cell r="D499" t="str">
            <v>SWOD</v>
          </cell>
          <cell r="E499">
            <v>8.5743683011800709</v>
          </cell>
          <cell r="F499">
            <v>9.3211780743224981</v>
          </cell>
          <cell r="G499">
            <v>9.4935217103454388</v>
          </cell>
          <cell r="H499">
            <v>9.8939723492258622</v>
          </cell>
          <cell r="I499">
            <v>9.4771270467786231</v>
          </cell>
          <cell r="J499">
            <v>9.2927578822917933</v>
          </cell>
        </row>
        <row r="500">
          <cell r="B500" t="str">
            <v>D-SWOD</v>
          </cell>
          <cell r="C500" t="str">
            <v>VAR_fin</v>
          </cell>
          <cell r="D500" t="str">
            <v>WOD</v>
          </cell>
          <cell r="E500">
            <v>8.5743683011800709</v>
          </cell>
          <cell r="F500">
            <v>9.3211780743224981</v>
          </cell>
          <cell r="G500">
            <v>9.4935217103454388</v>
          </cell>
          <cell r="H500">
            <v>9.8939723492258622</v>
          </cell>
          <cell r="I500">
            <v>9.4771270467786231</v>
          </cell>
          <cell r="J500">
            <v>9.2927578822917933</v>
          </cell>
        </row>
        <row r="501">
          <cell r="B501" t="str">
            <v>SCOM-CHPWOD</v>
          </cell>
          <cell r="C501" t="str">
            <v>VAR_fout</v>
          </cell>
          <cell r="D501" t="str">
            <v>SCOM_KEV_WOD_ELC_CHP</v>
          </cell>
          <cell r="H501">
            <v>5.8227224515422396E-4</v>
          </cell>
          <cell r="I501">
            <v>5.3585836126340358E-4</v>
          </cell>
          <cell r="J501">
            <v>1.7290624025408286E-4</v>
          </cell>
        </row>
        <row r="502">
          <cell r="B502" t="str">
            <v>SCOM-CHPWOD</v>
          </cell>
          <cell r="C502" t="str">
            <v>VAR_fout</v>
          </cell>
          <cell r="D502" t="str">
            <v>SCOM_LTH_CHPWOD</v>
          </cell>
          <cell r="H502">
            <v>9.3056911192281944E-4</v>
          </cell>
          <cell r="I502">
            <v>8.1947846427180059E-4</v>
          </cell>
          <cell r="J502">
            <v>2.5392942303324338E-4</v>
          </cell>
        </row>
        <row r="503">
          <cell r="B503" t="str">
            <v>SCOM-CHPWOD</v>
          </cell>
          <cell r="C503" t="str">
            <v>VAR_fin</v>
          </cell>
          <cell r="D503" t="str">
            <v>SWOD</v>
          </cell>
          <cell r="H503">
            <v>2.0702075203855841E-3</v>
          </cell>
          <cell r="I503">
            <v>1.7897770688435305E-3</v>
          </cell>
          <cell r="J503">
            <v>6.2370860095721081E-4</v>
          </cell>
        </row>
        <row r="504">
          <cell r="B504" t="str">
            <v>SCOM-CHPWOD</v>
          </cell>
          <cell r="C504" t="str">
            <v>VAR_ncap</v>
          </cell>
          <cell r="D504" t="str">
            <v>-</v>
          </cell>
          <cell r="H504">
            <v>4.4301956752319102E-5</v>
          </cell>
          <cell r="I504">
            <v>1.3489192003664499E-5</v>
          </cell>
          <cell r="J504">
            <v>9.9795616444034896E-6</v>
          </cell>
        </row>
        <row r="505">
          <cell r="B505" t="str">
            <v>SCOM-CHPWOD</v>
          </cell>
          <cell r="C505" t="str">
            <v>VAR_cap</v>
          </cell>
          <cell r="D505" t="str">
            <v>-</v>
          </cell>
          <cell r="H505">
            <v>4.4301956752319102E-5</v>
          </cell>
          <cell r="I505">
            <v>4.6965297097745719E-5</v>
          </cell>
          <cell r="J505">
            <v>2.1113777796025004E-5</v>
          </cell>
        </row>
        <row r="506">
          <cell r="B506" t="str">
            <v>ENUC_BMGL</v>
          </cell>
          <cell r="C506" t="str">
            <v>VAR_fout</v>
          </cell>
          <cell r="D506" t="str">
            <v>ELC</v>
          </cell>
          <cell r="E506">
            <v>32.820799999986669</v>
          </cell>
          <cell r="F506">
            <v>32.820792959210102</v>
          </cell>
          <cell r="G506">
            <v>31.301515703773639</v>
          </cell>
          <cell r="H506">
            <v>32.820794547135065</v>
          </cell>
          <cell r="I506">
            <v>32.820799657291687</v>
          </cell>
        </row>
        <row r="507">
          <cell r="B507" t="str">
            <v>ENUC_BMGL</v>
          </cell>
          <cell r="C507" t="str">
            <v>VAR_fin</v>
          </cell>
          <cell r="D507" t="str">
            <v>URN</v>
          </cell>
          <cell r="E507">
            <v>98.945499406622815</v>
          </cell>
          <cell r="F507">
            <v>98.945478180657844</v>
          </cell>
          <cell r="G507">
            <v>94.365283707142694</v>
          </cell>
          <cell r="H507">
            <v>98.945482967805845</v>
          </cell>
          <cell r="I507">
            <v>98.94549837349372</v>
          </cell>
        </row>
        <row r="508">
          <cell r="B508" t="str">
            <v>ENUC_BMGL</v>
          </cell>
          <cell r="C508" t="str">
            <v>VAR_cap</v>
          </cell>
          <cell r="D508" t="str">
            <v>-</v>
          </cell>
          <cell r="E508">
            <v>1.22</v>
          </cell>
          <cell r="F508">
            <v>1.22</v>
          </cell>
          <cell r="G508">
            <v>1.22</v>
          </cell>
          <cell r="H508">
            <v>1.22</v>
          </cell>
          <cell r="I508">
            <v>1.22</v>
          </cell>
        </row>
        <row r="509">
          <cell r="B509" t="str">
            <v>D-RSH2R</v>
          </cell>
          <cell r="C509" t="str">
            <v>VAR_fout</v>
          </cell>
          <cell r="D509" t="str">
            <v>RSH2</v>
          </cell>
          <cell r="H509">
            <v>4.3370873311923225E-4</v>
          </cell>
          <cell r="I509">
            <v>4.9075415103794608E-4</v>
          </cell>
          <cell r="J509">
            <v>2.3745674733418725E-4</v>
          </cell>
        </row>
        <row r="510">
          <cell r="B510" t="str">
            <v>D-RSH2R</v>
          </cell>
          <cell r="C510" t="str">
            <v>VAR_fin</v>
          </cell>
          <cell r="D510" t="str">
            <v>H2</v>
          </cell>
          <cell r="H510">
            <v>4.3370873311923225E-4</v>
          </cell>
          <cell r="I510">
            <v>4.9075415103794608E-4</v>
          </cell>
          <cell r="J510">
            <v>2.3745674733418725E-4</v>
          </cell>
        </row>
        <row r="511">
          <cell r="B511" t="str">
            <v>D-RSH2R</v>
          </cell>
          <cell r="C511" t="str">
            <v>VAR_ncap</v>
          </cell>
          <cell r="D511" t="str">
            <v>-</v>
          </cell>
          <cell r="H511">
            <v>3.03835698877285E-5</v>
          </cell>
          <cell r="I511">
            <v>4.0696621998380703E-5</v>
          </cell>
          <cell r="J511">
            <v>1.1062705658809099E-5</v>
          </cell>
        </row>
        <row r="512">
          <cell r="B512" t="str">
            <v>D-RSH2R</v>
          </cell>
          <cell r="C512" t="str">
            <v>VAR_cap</v>
          </cell>
          <cell r="D512" t="str">
            <v>-</v>
          </cell>
          <cell r="H512">
            <v>3.03835698877285E-5</v>
          </cell>
          <cell r="I512">
            <v>4.3791192744605E-5</v>
          </cell>
          <cell r="J512">
            <v>2.5002163363977699E-5</v>
          </cell>
        </row>
        <row r="513">
          <cell r="B513" t="str">
            <v>ENGA-GTOC</v>
          </cell>
          <cell r="C513" t="str">
            <v>VAR_fout</v>
          </cell>
          <cell r="D513" t="str">
            <v>ELC13</v>
          </cell>
          <cell r="F513">
            <v>4.3319613614401902E-4</v>
          </cell>
          <cell r="G513">
            <v>1.5676588397032761E-3</v>
          </cell>
          <cell r="H513">
            <v>1.4771381365483677E-3</v>
          </cell>
          <cell r="I513">
            <v>6.4114825029501638E-2</v>
          </cell>
          <cell r="J513">
            <v>6.8397208916249636E-3</v>
          </cell>
        </row>
        <row r="514">
          <cell r="B514" t="str">
            <v>ENGA-GTOC</v>
          </cell>
          <cell r="C514" t="str">
            <v>VAR_fout</v>
          </cell>
          <cell r="D514" t="str">
            <v>CO2_E</v>
          </cell>
          <cell r="F514">
            <v>8.6411463573034794E-2</v>
          </cell>
          <cell r="G514">
            <v>0.28806207697886799</v>
          </cell>
          <cell r="H514">
            <v>0.22190516439984201</v>
          </cell>
          <cell r="I514">
            <v>8.7482386882241396</v>
          </cell>
          <cell r="J514">
            <v>0.93386709590397499</v>
          </cell>
        </row>
        <row r="515">
          <cell r="B515" t="str">
            <v>ENGA-GTOC</v>
          </cell>
          <cell r="C515" t="str">
            <v>VAR_fin</v>
          </cell>
          <cell r="D515" t="str">
            <v>ENGA</v>
          </cell>
          <cell r="F515">
            <v>1.5321181484580656E-3</v>
          </cell>
          <cell r="G515">
            <v>5.1074836343770981E-3</v>
          </cell>
          <cell r="H515">
            <v>3.934488730493649E-3</v>
          </cell>
          <cell r="I515">
            <v>0.15511061503943521</v>
          </cell>
          <cell r="J515">
            <v>1.6557927232339998E-2</v>
          </cell>
        </row>
        <row r="516">
          <cell r="B516" t="str">
            <v>ENGA-GTOC</v>
          </cell>
          <cell r="C516" t="str">
            <v>VAR_fin</v>
          </cell>
          <cell r="D516" t="str">
            <v>GTC</v>
          </cell>
          <cell r="F516">
            <v>0.25000006596638402</v>
          </cell>
          <cell r="G516">
            <v>5.2064234220949482E-2</v>
          </cell>
          <cell r="H516">
            <v>5.2058785075668475E-2</v>
          </cell>
          <cell r="I516">
            <v>5.5322540229197248E-2</v>
          </cell>
          <cell r="J516">
            <v>1.2739909856958664E-2</v>
          </cell>
        </row>
        <row r="517">
          <cell r="B517" t="str">
            <v>ENGA-GTOC</v>
          </cell>
          <cell r="C517" t="str">
            <v>VAR_ncap</v>
          </cell>
          <cell r="D517" t="str">
            <v>-</v>
          </cell>
          <cell r="F517">
            <v>0.25000006596638402</v>
          </cell>
          <cell r="G517">
            <v>5.5300470257703299E-7</v>
          </cell>
          <cell r="H517">
            <v>1.2978032861075401E-6</v>
          </cell>
          <cell r="I517">
            <v>3.2637346070694298E-3</v>
          </cell>
          <cell r="J517">
            <v>3.39446885018942E-4</v>
          </cell>
        </row>
        <row r="518">
          <cell r="B518" t="str">
            <v>ENGA-GTOC</v>
          </cell>
          <cell r="C518" t="str">
            <v>VAR_cap</v>
          </cell>
          <cell r="D518" t="str">
            <v>-</v>
          </cell>
          <cell r="F518">
            <v>0.25000006596638402</v>
          </cell>
          <cell r="G518">
            <v>5.2064234220948996E-2</v>
          </cell>
          <cell r="H518">
            <v>5.2058785075667996E-2</v>
          </cell>
          <cell r="I518">
            <v>5.5322540229197997E-2</v>
          </cell>
          <cell r="J518">
            <v>1.2739909856958706E-2</v>
          </cell>
        </row>
        <row r="519">
          <cell r="B519" t="str">
            <v>D-RSH2</v>
          </cell>
          <cell r="C519" t="str">
            <v>VAR_fout</v>
          </cell>
          <cell r="D519" t="str">
            <v>RSH2</v>
          </cell>
          <cell r="H519">
            <v>4.6632694237507829E-4</v>
          </cell>
          <cell r="I519">
            <v>4.4966535065532034E-4</v>
          </cell>
          <cell r="J519">
            <v>3.1300010060341483E-4</v>
          </cell>
        </row>
        <row r="520">
          <cell r="B520" t="str">
            <v>D-RSH2</v>
          </cell>
          <cell r="C520" t="str">
            <v>VAR_fin</v>
          </cell>
          <cell r="D520" t="str">
            <v>H2</v>
          </cell>
          <cell r="H520">
            <v>4.6987960196550422E-4</v>
          </cell>
          <cell r="I520">
            <v>4.5309107577502154E-4</v>
          </cell>
          <cell r="J520">
            <v>3.1538465681959512E-4</v>
          </cell>
        </row>
        <row r="521">
          <cell r="B521" t="str">
            <v>D-RSH2</v>
          </cell>
          <cell r="C521" t="str">
            <v>VAR_ncap</v>
          </cell>
          <cell r="D521" t="str">
            <v>-</v>
          </cell>
          <cell r="H521">
            <v>3.9569379777672201E-5</v>
          </cell>
          <cell r="I521">
            <v>1.13415784810307E-6</v>
          </cell>
          <cell r="J521">
            <v>3.0624145447811601E-7</v>
          </cell>
        </row>
        <row r="522">
          <cell r="B522" t="str">
            <v>D-RSH2</v>
          </cell>
          <cell r="C522" t="str">
            <v>VAR_cap</v>
          </cell>
          <cell r="D522" t="str">
            <v>-</v>
          </cell>
          <cell r="H522">
            <v>3.9569379777672201E-5</v>
          </cell>
          <cell r="I522">
            <v>4.8135168777821301E-5</v>
          </cell>
          <cell r="J522">
            <v>4.8441410232299403E-5</v>
          </cell>
        </row>
        <row r="523">
          <cell r="B523" t="str">
            <v>D-RWOD</v>
          </cell>
          <cell r="C523" t="str">
            <v>VAR_fout</v>
          </cell>
          <cell r="D523" t="str">
            <v>RWOD</v>
          </cell>
          <cell r="E523">
            <v>13.722989072185417</v>
          </cell>
          <cell r="F523">
            <v>14.427093708404648</v>
          </cell>
          <cell r="G523">
            <v>17.12712120528813</v>
          </cell>
          <cell r="H523">
            <v>16.574648728719822</v>
          </cell>
          <cell r="I523">
            <v>14.909600320662944</v>
          </cell>
          <cell r="J523">
            <v>13.422143826117825</v>
          </cell>
        </row>
        <row r="524">
          <cell r="B524" t="str">
            <v>D-RWOD</v>
          </cell>
          <cell r="C524" t="str">
            <v>VAR_fin</v>
          </cell>
          <cell r="D524" t="str">
            <v>WOD</v>
          </cell>
          <cell r="E524">
            <v>13.722989072185417</v>
          </cell>
          <cell r="F524">
            <v>14.427093708404648</v>
          </cell>
          <cell r="G524">
            <v>17.12712120528813</v>
          </cell>
          <cell r="H524">
            <v>16.574648728719822</v>
          </cell>
          <cell r="I524">
            <v>14.909600320662944</v>
          </cell>
          <cell r="J524">
            <v>13.422143826117825</v>
          </cell>
        </row>
        <row r="525">
          <cell r="B525" t="str">
            <v>SCOM-CHPGFC</v>
          </cell>
          <cell r="C525" t="str">
            <v>VAR_fout</v>
          </cell>
          <cell r="D525" t="str">
            <v>CO2_S</v>
          </cell>
          <cell r="H525">
            <v>1.6237591885550899E-2</v>
          </cell>
          <cell r="I525">
            <v>0.62384753623577405</v>
          </cell>
          <cell r="J525">
            <v>0.607871603191245</v>
          </cell>
        </row>
        <row r="526">
          <cell r="B526" t="str">
            <v>SCOM-CHPGFC</v>
          </cell>
          <cell r="C526" t="str">
            <v>VAR_fout</v>
          </cell>
          <cell r="D526" t="str">
            <v>SCOM_NKEV_GAS_ELC_CHP</v>
          </cell>
          <cell r="H526">
            <v>1.7274033920798801E-4</v>
          </cell>
          <cell r="I526">
            <v>6.7472871826918766E-3</v>
          </cell>
          <cell r="J526">
            <v>6.6822764889817709E-3</v>
          </cell>
        </row>
        <row r="527">
          <cell r="B527" t="str">
            <v>SCOM-CHPGFC</v>
          </cell>
          <cell r="C527" t="str">
            <v>VAR_fout</v>
          </cell>
          <cell r="D527" t="str">
            <v>SCOM_LTH_CHPNGA</v>
          </cell>
          <cell r="H527">
            <v>5.1527947882930712E-5</v>
          </cell>
          <cell r="I527">
            <v>1.991002775220557E-3</v>
          </cell>
          <cell r="J527">
            <v>1.9398430280936209E-3</v>
          </cell>
        </row>
        <row r="528">
          <cell r="B528" t="str">
            <v>SCOM-CHPGFC</v>
          </cell>
          <cell r="C528" t="str">
            <v>VAR_fin</v>
          </cell>
          <cell r="D528" t="str">
            <v>SNGA</v>
          </cell>
          <cell r="H528">
            <v>2.8790056534664635E-4</v>
          </cell>
          <cell r="I528">
            <v>1.1061126529003075E-2</v>
          </cell>
          <cell r="J528">
            <v>1.0777865304809297E-2</v>
          </cell>
        </row>
        <row r="529">
          <cell r="B529" t="str">
            <v>SCOM-CHPGFC</v>
          </cell>
          <cell r="C529" t="str">
            <v>VAR_ncap</v>
          </cell>
          <cell r="D529" t="str">
            <v>-</v>
          </cell>
          <cell r="H529">
            <v>1.3621285320118E-5</v>
          </cell>
          <cell r="I529">
            <v>3.5247276239108098E-4</v>
          </cell>
          <cell r="J529">
            <v>1.21845503541659E-4</v>
          </cell>
        </row>
        <row r="530">
          <cell r="B530" t="str">
            <v>SCOM-CHPGFC</v>
          </cell>
          <cell r="C530" t="str">
            <v>VAR_cap</v>
          </cell>
          <cell r="D530" t="str">
            <v>-</v>
          </cell>
          <cell r="H530">
            <v>1.3621285320118E-5</v>
          </cell>
          <cell r="I530">
            <v>3.9551389548202453E-4</v>
          </cell>
          <cell r="J530">
            <v>3.9190051095821225E-4</v>
          </cell>
        </row>
        <row r="531">
          <cell r="B531" t="str">
            <v>CHPOIL</v>
          </cell>
          <cell r="C531" t="str">
            <v>VAR_fout</v>
          </cell>
          <cell r="D531" t="str">
            <v>ELC35</v>
          </cell>
          <cell r="E531">
            <v>1.8007870349370926E-3</v>
          </cell>
          <cell r="F531">
            <v>7.9925855066414217E-5</v>
          </cell>
          <cell r="G531">
            <v>3.3098642038810233E-4</v>
          </cell>
          <cell r="H531">
            <v>2.2661197572200516E-4</v>
          </cell>
          <cell r="I531">
            <v>2.3703535898568753E-4</v>
          </cell>
          <cell r="J531">
            <v>7.7176475332169981E-5</v>
          </cell>
        </row>
        <row r="532">
          <cell r="B532" t="str">
            <v>CHPOIL</v>
          </cell>
          <cell r="C532" t="str">
            <v>VAR_fout</v>
          </cell>
          <cell r="D532" t="str">
            <v>LTH</v>
          </cell>
          <cell r="E532">
            <v>9.2611904653907718E-3</v>
          </cell>
          <cell r="F532">
            <v>4.1104725462727271E-4</v>
          </cell>
          <cell r="G532">
            <v>1.7022158762816696E-3</v>
          </cell>
          <cell r="H532">
            <v>1.165433017998883E-3</v>
          </cell>
          <cell r="I532">
            <v>1.219038989069251E-3</v>
          </cell>
          <cell r="J532">
            <v>3.9690758742258806E-4</v>
          </cell>
        </row>
        <row r="533">
          <cell r="B533" t="str">
            <v>CHPOIL</v>
          </cell>
          <cell r="C533" t="str">
            <v>VAR_fout</v>
          </cell>
          <cell r="D533" t="str">
            <v>CO2_E</v>
          </cell>
          <cell r="E533">
            <v>1.3774911812727499</v>
          </cell>
          <cell r="F533">
            <v>9.8918327358021696E-2</v>
          </cell>
          <cell r="G533">
            <v>0.270995964448765</v>
          </cell>
          <cell r="H533">
            <v>0.16867565855609301</v>
          </cell>
          <cell r="I533">
            <v>0.16781122743112101</v>
          </cell>
          <cell r="J533">
            <v>5.6269853264937698E-2</v>
          </cell>
        </row>
        <row r="534">
          <cell r="B534" t="str">
            <v>CHPOIL</v>
          </cell>
          <cell r="C534" t="str">
            <v>VAR_fin</v>
          </cell>
          <cell r="D534" t="str">
            <v>ELFO</v>
          </cell>
          <cell r="E534">
            <v>1.8690518063402349E-2</v>
          </cell>
          <cell r="F534">
            <v>1.342175405129194E-3</v>
          </cell>
          <cell r="G534">
            <v>3.677014442995453E-3</v>
          </cell>
          <cell r="H534">
            <v>2.2886792205711482E-3</v>
          </cell>
          <cell r="I534">
            <v>2.2769501686719239E-3</v>
          </cell>
          <cell r="J534">
            <v>7.6349868744827283E-4</v>
          </cell>
        </row>
        <row r="535">
          <cell r="B535" t="str">
            <v>CHPOIL</v>
          </cell>
          <cell r="C535" t="str">
            <v>VAR_ncap</v>
          </cell>
          <cell r="D535" t="str">
            <v>-</v>
          </cell>
          <cell r="F535">
            <v>8.2544924226493102E-7</v>
          </cell>
          <cell r="G535">
            <v>8.2246357526762003E-7</v>
          </cell>
          <cell r="H535">
            <v>1.45542142890024E-6</v>
          </cell>
          <cell r="I535">
            <v>1.8472546286971299E-5</v>
          </cell>
          <cell r="J535">
            <v>2.5066981718567099E-5</v>
          </cell>
        </row>
        <row r="536">
          <cell r="B536" t="str">
            <v>CHPOIL</v>
          </cell>
          <cell r="C536" t="str">
            <v>VAR_cap</v>
          </cell>
          <cell r="D536" t="str">
            <v>-</v>
          </cell>
          <cell r="E536">
            <v>1.40319951953948E-3</v>
          </cell>
          <cell r="F536">
            <v>3.3711446614686537E-4</v>
          </cell>
          <cell r="G536">
            <v>3.0067183080122184E-4</v>
          </cell>
          <cell r="H536">
            <v>2.3093794926272275E-4</v>
          </cell>
          <cell r="I536">
            <v>8.8096745058900282E-5</v>
          </cell>
          <cell r="J536">
            <v>4.5943337072656811E-5</v>
          </cell>
        </row>
        <row r="537">
          <cell r="B537" t="str">
            <v>CHPHFC</v>
          </cell>
          <cell r="C537" t="str">
            <v>VAR_fout</v>
          </cell>
          <cell r="D537" t="str">
            <v>ELC35</v>
          </cell>
          <cell r="I537">
            <v>1.3937249907621661E-2</v>
          </cell>
          <cell r="J537">
            <v>7.5058427706234887E-2</v>
          </cell>
        </row>
        <row r="538">
          <cell r="B538" t="str">
            <v>CHPHFC</v>
          </cell>
          <cell r="C538" t="str">
            <v>VAR_fout</v>
          </cell>
          <cell r="D538" t="str">
            <v>LTH</v>
          </cell>
          <cell r="I538">
            <v>1.6923803459254805E-2</v>
          </cell>
          <cell r="J538">
            <v>9.4716587343581918E-2</v>
          </cell>
        </row>
        <row r="539">
          <cell r="B539" t="str">
            <v>CHPHFC</v>
          </cell>
          <cell r="C539" t="str">
            <v>VAR_fin</v>
          </cell>
          <cell r="D539" t="str">
            <v>EH2</v>
          </cell>
          <cell r="I539">
            <v>3.3183928351480152E-2</v>
          </cell>
          <cell r="J539">
            <v>0.17871054215770213</v>
          </cell>
        </row>
        <row r="540">
          <cell r="B540" t="str">
            <v>CHPHFC</v>
          </cell>
          <cell r="C540" t="str">
            <v>VAR_ncap</v>
          </cell>
          <cell r="D540" t="str">
            <v>-</v>
          </cell>
          <cell r="I540">
            <v>1.76760686543714E-3</v>
          </cell>
          <cell r="J540">
            <v>8.3278952190339699E-3</v>
          </cell>
        </row>
        <row r="541">
          <cell r="B541" t="str">
            <v>CHPHFC</v>
          </cell>
          <cell r="C541" t="str">
            <v>VAR_cap</v>
          </cell>
          <cell r="D541" t="str">
            <v>-</v>
          </cell>
          <cell r="I541">
            <v>1.76760686543714E-3</v>
          </cell>
          <cell r="J541">
            <v>1.0095463708598736E-2</v>
          </cell>
        </row>
        <row r="542">
          <cell r="B542" t="str">
            <v>ITOT-ESOLPV</v>
          </cell>
          <cell r="C542" t="str">
            <v>VAR_fout</v>
          </cell>
          <cell r="D542" t="str">
            <v>ITOT_SOL_ELC</v>
          </cell>
          <cell r="E542">
            <v>3.517953999707534</v>
          </cell>
          <cell r="F542">
            <v>4.8498358001498492</v>
          </cell>
          <cell r="G542">
            <v>9.5945034499488386</v>
          </cell>
          <cell r="H542">
            <v>11.157193467520752</v>
          </cell>
          <cell r="I542">
            <v>23.249616601369251</v>
          </cell>
          <cell r="J542">
            <v>52.941630400731988</v>
          </cell>
        </row>
        <row r="543">
          <cell r="B543" t="str">
            <v>ITOT-ESOLPV</v>
          </cell>
          <cell r="C543" t="str">
            <v>VAR_fin</v>
          </cell>
          <cell r="D543" t="str">
            <v>SOL</v>
          </cell>
          <cell r="E543">
            <v>3.517953999707534</v>
          </cell>
          <cell r="F543">
            <v>4.8498358001498492</v>
          </cell>
          <cell r="G543">
            <v>9.5945034499488386</v>
          </cell>
          <cell r="H543">
            <v>11.157193467520752</v>
          </cell>
          <cell r="I543">
            <v>23.249616601369251</v>
          </cell>
          <cell r="J543">
            <v>52.941630400731988</v>
          </cell>
        </row>
        <row r="544">
          <cell r="B544" t="str">
            <v>ITOT-ESOLPV</v>
          </cell>
          <cell r="C544" t="str">
            <v>VAR_fin</v>
          </cell>
          <cell r="D544" t="str">
            <v>SOLPVC</v>
          </cell>
          <cell r="E544">
            <v>3.51795399970753</v>
          </cell>
          <cell r="F544">
            <v>4.8498358001498501</v>
          </cell>
          <cell r="G544">
            <v>9.5945034499488298</v>
          </cell>
          <cell r="H544">
            <v>11.1571934675208</v>
          </cell>
          <cell r="I544">
            <v>23.249616601369301</v>
          </cell>
          <cell r="J544">
            <v>52.941630400732002</v>
          </cell>
        </row>
        <row r="545">
          <cell r="B545" t="str">
            <v>ITOT-ESOLPV</v>
          </cell>
          <cell r="C545" t="str">
            <v>VAR_ncap</v>
          </cell>
          <cell r="D545" t="str">
            <v>-</v>
          </cell>
          <cell r="F545">
            <v>2.5361580659794899E-8</v>
          </cell>
          <cell r="G545">
            <v>1.267965833144</v>
          </cell>
          <cell r="H545">
            <v>0.22506728343712801</v>
          </cell>
          <cell r="I545">
            <v>3.7404805960418601</v>
          </cell>
          <cell r="J545">
            <v>10.6934366996395</v>
          </cell>
        </row>
        <row r="546">
          <cell r="B546" t="str">
            <v>ITOT-ESOLPV</v>
          </cell>
          <cell r="C546" t="str">
            <v>VAR_cap</v>
          </cell>
          <cell r="D546" t="str">
            <v>-</v>
          </cell>
          <cell r="E546">
            <v>1.1186210000000001</v>
          </cell>
          <cell r="F546">
            <v>1.6529270399486307</v>
          </cell>
          <cell r="G546">
            <v>3.0611868585055797</v>
          </cell>
          <cell r="H546">
            <v>3.2173382451385999</v>
          </cell>
          <cell r="I546">
            <v>6.7043611880634666</v>
          </cell>
          <cell r="J546">
            <v>15.266477778206299</v>
          </cell>
        </row>
        <row r="547">
          <cell r="B547" t="str">
            <v>RHNS-CHPNGA</v>
          </cell>
          <cell r="C547" t="str">
            <v>VAR_fout</v>
          </cell>
          <cell r="D547" t="str">
            <v>CO2_R</v>
          </cell>
          <cell r="F547">
            <v>8.1493202863102202E-2</v>
          </cell>
          <cell r="G547">
            <v>0.156502163795605</v>
          </cell>
          <cell r="H547">
            <v>0.14912568626770301</v>
          </cell>
          <cell r="I547">
            <v>0.26710947847180699</v>
          </cell>
          <cell r="J547">
            <v>0.14440276106675801</v>
          </cell>
        </row>
        <row r="548">
          <cell r="B548" t="str">
            <v>RHNS-CHPNGA</v>
          </cell>
          <cell r="C548" t="str">
            <v>VAR_fout</v>
          </cell>
          <cell r="D548" t="str">
            <v>RHNS_LTH_CHPNGA</v>
          </cell>
          <cell r="F548">
            <v>9.167282295116895E-4</v>
          </cell>
          <cell r="G548">
            <v>1.18596460402791E-3</v>
          </cell>
          <cell r="H548">
            <v>1.3006984399350607E-3</v>
          </cell>
          <cell r="I548">
            <v>2.4127150554056464E-3</v>
          </cell>
          <cell r="J548">
            <v>1.3881215516245052E-3</v>
          </cell>
        </row>
        <row r="549">
          <cell r="B549" t="str">
            <v>RHNS-CHPNGA</v>
          </cell>
          <cell r="C549" t="str">
            <v>VAR_fout</v>
          </cell>
          <cell r="D549" t="str">
            <v>RHNS_NKEV_GAS_ELC_CHP</v>
          </cell>
          <cell r="F549">
            <v>3.8468391513700939E-4</v>
          </cell>
          <cell r="G549">
            <v>5.0540543441099123E-4</v>
          </cell>
          <cell r="H549">
            <v>5.6905556747158779E-4</v>
          </cell>
          <cell r="I549">
            <v>1.0744121731103284E-3</v>
          </cell>
          <cell r="J549">
            <v>6.3897658725572438E-4</v>
          </cell>
        </row>
        <row r="550">
          <cell r="B550" t="str">
            <v>RHNS-CHPNGA</v>
          </cell>
          <cell r="C550" t="str">
            <v>VAR_fin</v>
          </cell>
          <cell r="D550" t="str">
            <v>RNGA</v>
          </cell>
          <cell r="F550">
            <v>1.4449149443812449E-3</v>
          </cell>
          <cell r="G550">
            <v>2.7748610602057562E-3</v>
          </cell>
          <cell r="H550">
            <v>2.6440724515550112E-3</v>
          </cell>
          <cell r="I550">
            <v>4.7359836608476466E-3</v>
          </cell>
          <cell r="J550">
            <v>2.5603326430276266E-3</v>
          </cell>
        </row>
        <row r="551">
          <cell r="B551" t="str">
            <v>RHNS-CHPNGA</v>
          </cell>
          <cell r="C551" t="str">
            <v>VAR_ncap</v>
          </cell>
          <cell r="D551" t="str">
            <v>-</v>
          </cell>
          <cell r="F551">
            <v>3.7297037841061501E-5</v>
          </cell>
          <cell r="G551">
            <v>7.6151265727260499E-6</v>
          </cell>
          <cell r="H551">
            <v>5.6787237101961696E-6</v>
          </cell>
          <cell r="I551">
            <v>2.3997400540871701E-5</v>
          </cell>
          <cell r="J551">
            <v>3.5252084317364098E-7</v>
          </cell>
        </row>
        <row r="552">
          <cell r="B552" t="str">
            <v>RHNS-CHPNGA</v>
          </cell>
          <cell r="C552" t="str">
            <v>VAR_cap</v>
          </cell>
          <cell r="D552" t="str">
            <v>-</v>
          </cell>
          <cell r="F552">
            <v>3.7297037841061501E-5</v>
          </cell>
          <cell r="G552">
            <v>4.4912164413787502E-5</v>
          </cell>
          <cell r="H552">
            <v>5.05908881239837E-5</v>
          </cell>
          <cell r="I552">
            <v>9.5500205297782494E-5</v>
          </cell>
          <cell r="J552">
            <v>5.6821416429947231E-5</v>
          </cell>
        </row>
        <row r="553">
          <cell r="B553" t="str">
            <v>ENUC_BEZ</v>
          </cell>
          <cell r="C553" t="str">
            <v>VAR_fout</v>
          </cell>
          <cell r="D553" t="str">
            <v>ELC</v>
          </cell>
          <cell r="E553">
            <v>20.224799999997177</v>
          </cell>
          <cell r="F553">
            <v>20.224792000090815</v>
          </cell>
          <cell r="G553">
            <v>12.860892986768915</v>
          </cell>
          <cell r="H553">
            <v>7.3991900319803214</v>
          </cell>
        </row>
        <row r="554">
          <cell r="B554" t="str">
            <v>ENUC_BEZ</v>
          </cell>
          <cell r="C554" t="str">
            <v>VAR_fin</v>
          </cell>
          <cell r="D554" t="str">
            <v>URN</v>
          </cell>
          <cell r="E554">
            <v>60.9720950250938</v>
          </cell>
          <cell r="F554">
            <v>60.97207090762172</v>
          </cell>
          <cell r="G554">
            <v>38.77198238286396</v>
          </cell>
          <cell r="H554">
            <v>22.306481040044616</v>
          </cell>
        </row>
        <row r="555">
          <cell r="B555" t="str">
            <v>ENUC_BEZ</v>
          </cell>
          <cell r="C555" t="str">
            <v>VAR_cap</v>
          </cell>
          <cell r="D555" t="str">
            <v>-</v>
          </cell>
          <cell r="E555">
            <v>0.73</v>
          </cell>
          <cell r="F555">
            <v>0.73</v>
          </cell>
          <cell r="G555">
            <v>0.48968299166234502</v>
          </cell>
          <cell r="H555">
            <v>0.26706931591377198</v>
          </cell>
        </row>
        <row r="556">
          <cell r="B556" t="str">
            <v>RHNM-CHPWOD</v>
          </cell>
          <cell r="C556" t="str">
            <v>VAR_fout</v>
          </cell>
          <cell r="D556" t="str">
            <v>RHNM_LTH_CHPWOD</v>
          </cell>
          <cell r="H556">
            <v>1.6322279174265577E-3</v>
          </cell>
          <cell r="I556">
            <v>1.2454466150489364E-3</v>
          </cell>
          <cell r="J556">
            <v>6.8424347842951819E-4</v>
          </cell>
        </row>
        <row r="557">
          <cell r="B557" t="str">
            <v>RHNM-CHPWOD</v>
          </cell>
          <cell r="C557" t="str">
            <v>VAR_fout</v>
          </cell>
          <cell r="D557" t="str">
            <v>RHNM_KEV_WOD_ELC_CHP</v>
          </cell>
          <cell r="H557">
            <v>6.1359679118072402E-4</v>
          </cell>
          <cell r="I557">
            <v>4.6819567195358124E-4</v>
          </cell>
          <cell r="J557">
            <v>2.5722486318739251E-4</v>
          </cell>
        </row>
        <row r="558">
          <cell r="B558" t="str">
            <v>RHNM-CHPWOD</v>
          </cell>
          <cell r="C558" t="str">
            <v>VAR_fin</v>
          </cell>
          <cell r="D558" t="str">
            <v>RWOD</v>
          </cell>
          <cell r="H558">
            <v>2.6481637773016591E-3</v>
          </cell>
          <cell r="I558">
            <v>1.9543038035013875E-3</v>
          </cell>
          <cell r="J558">
            <v>1.0321575168872946E-3</v>
          </cell>
        </row>
        <row r="559">
          <cell r="B559" t="str">
            <v>RHNM-CHPWOD</v>
          </cell>
          <cell r="C559" t="str">
            <v>VAR_ncap</v>
          </cell>
          <cell r="D559" t="str">
            <v>-</v>
          </cell>
          <cell r="H559">
            <v>4.55884459088828E-5</v>
          </cell>
          <cell r="I559">
            <v>5.6117513087345599E-6</v>
          </cell>
          <cell r="J559">
            <v>1.7136568451967701E-5</v>
          </cell>
        </row>
        <row r="560">
          <cell r="B560" t="str">
            <v>RHNM-CHPWOD</v>
          </cell>
          <cell r="C560" t="str">
            <v>VAR_cap</v>
          </cell>
          <cell r="D560" t="str">
            <v>-</v>
          </cell>
          <cell r="H560">
            <v>4.55884459088828E-5</v>
          </cell>
          <cell r="I560">
            <v>3.835612747826265E-5</v>
          </cell>
          <cell r="J560">
            <v>2.1877106001468925E-5</v>
          </cell>
        </row>
        <row r="561">
          <cell r="B561" t="str">
            <v>RHNM-SHSTG-CHPNGA</v>
          </cell>
          <cell r="C561" t="str">
            <v>VAR_fout</v>
          </cell>
          <cell r="D561" t="str">
            <v>AUX_RNM-CHPNGA_OUT</v>
          </cell>
          <cell r="E561">
            <v>5.3844588636496657E-5</v>
          </cell>
          <cell r="F561">
            <v>9.0660130321626567E-5</v>
          </cell>
          <cell r="G561">
            <v>1.3965480990097315E-3</v>
          </cell>
          <cell r="H561">
            <v>1.3004303546521672E-3</v>
          </cell>
          <cell r="I561">
            <v>13.907724122075631</v>
          </cell>
          <cell r="J561">
            <v>17.942419425875599</v>
          </cell>
        </row>
        <row r="562">
          <cell r="B562" t="str">
            <v>RHNM-SHSTG-CHPNGA</v>
          </cell>
          <cell r="C562" t="str">
            <v>VAR_fout</v>
          </cell>
          <cell r="D562" t="str">
            <v>RHNM_LTH_CHPNGA</v>
          </cell>
          <cell r="E562">
            <v>5.3844588636496488E-5</v>
          </cell>
          <cell r="F562">
            <v>9.0720570408507346E-5</v>
          </cell>
          <cell r="G562">
            <v>1.3980028366128655E-3</v>
          </cell>
          <cell r="H562">
            <v>1.3004303546521672E-3</v>
          </cell>
          <cell r="I562">
            <v>13.907724122075594</v>
          </cell>
          <cell r="J562">
            <v>17.942419425875585</v>
          </cell>
        </row>
        <row r="563">
          <cell r="B563" t="str">
            <v>RHNM-SHSTG-CHPNGA</v>
          </cell>
          <cell r="C563" t="str">
            <v>VAR_fin</v>
          </cell>
          <cell r="D563" t="str">
            <v>AUX_RNM-CHPNGA_IN</v>
          </cell>
          <cell r="E563">
            <v>4.2407242902495544E-5</v>
          </cell>
          <cell r="F563">
            <v>1.202765376410134E-4</v>
          </cell>
          <cell r="G563">
            <v>1.8046791096752569E-3</v>
          </cell>
          <cell r="H563">
            <v>1.6263280587831986E-3</v>
          </cell>
          <cell r="I563">
            <v>16.362029392717979</v>
          </cell>
          <cell r="J563">
            <v>19.936022483771154</v>
          </cell>
        </row>
        <row r="564">
          <cell r="B564" t="str">
            <v>RHNM-SHSTG-CHPNGA</v>
          </cell>
          <cell r="C564" t="str">
            <v>VAR_fin</v>
          </cell>
          <cell r="D564" t="str">
            <v>RHNM_LTH_CHPNGA</v>
          </cell>
          <cell r="E564">
            <v>4.2407242902495544E-5</v>
          </cell>
          <cell r="F564">
            <v>1.202765376410134E-4</v>
          </cell>
          <cell r="G564">
            <v>1.8046791096752569E-3</v>
          </cell>
          <cell r="H564">
            <v>1.6263280587831986E-3</v>
          </cell>
          <cell r="I564">
            <v>16.362029392717979</v>
          </cell>
          <cell r="J564">
            <v>19.936022483771154</v>
          </cell>
        </row>
        <row r="565">
          <cell r="B565" t="str">
            <v>RHNM-SHSTG-CHPNGA</v>
          </cell>
          <cell r="C565" t="str">
            <v>VAR_ncap</v>
          </cell>
          <cell r="D565" t="str">
            <v>-</v>
          </cell>
          <cell r="E565">
            <v>1.3054920181705899E-3</v>
          </cell>
          <cell r="F565">
            <v>4.1969346757907399E-5</v>
          </cell>
          <cell r="G565">
            <v>2.89695727676329E-5</v>
          </cell>
          <cell r="H565">
            <v>1.4240237082294E-5</v>
          </cell>
          <cell r="I565">
            <v>0.82649539986737997</v>
          </cell>
          <cell r="J565">
            <v>0.51460742050460495</v>
          </cell>
        </row>
        <row r="566">
          <cell r="B566" t="str">
            <v>RHNM-SHSTG-CHPNGA</v>
          </cell>
          <cell r="C566" t="str">
            <v>VAR_cap</v>
          </cell>
          <cell r="D566" t="str">
            <v>-</v>
          </cell>
          <cell r="E566">
            <v>1.3054920181705899E-3</v>
          </cell>
          <cell r="F566">
            <v>1.3451903116338307E-3</v>
          </cell>
          <cell r="G566">
            <v>1.3666374864526099E-3</v>
          </cell>
          <cell r="H566">
            <v>1.3551291298189373E-3</v>
          </cell>
          <cell r="I566">
            <v>0.88202906837447848</v>
          </cell>
          <cell r="J566">
            <v>1.137904021481968</v>
          </cell>
        </row>
        <row r="567">
          <cell r="B567" t="str">
            <v>CT_CWODBDS</v>
          </cell>
          <cell r="C567" t="str">
            <v>VAR_fout</v>
          </cell>
          <cell r="D567" t="str">
            <v>BDS</v>
          </cell>
          <cell r="E567">
            <v>0.41221315265564534</v>
          </cell>
          <cell r="F567">
            <v>3.0269088072070396E-5</v>
          </cell>
          <cell r="G567">
            <v>0.62589832355785147</v>
          </cell>
          <cell r="H567">
            <v>3.356130343590736E-4</v>
          </cell>
          <cell r="I567">
            <v>2.0188979484626744E-4</v>
          </cell>
          <cell r="J567">
            <v>1.2103972488643068E-4</v>
          </cell>
        </row>
        <row r="568">
          <cell r="B568" t="str">
            <v>CT_CWODBDS</v>
          </cell>
          <cell r="C568" t="str">
            <v>VAR_fout</v>
          </cell>
          <cell r="D568" t="str">
            <v>LTH</v>
          </cell>
          <cell r="E568">
            <v>0.16076312953570143</v>
          </cell>
          <cell r="F568">
            <v>1.1804944348107439E-5</v>
          </cell>
          <cell r="G568">
            <v>0.24410034618756146</v>
          </cell>
          <cell r="H568">
            <v>1.3088908340003872E-4</v>
          </cell>
          <cell r="I568">
            <v>7.8737019990044195E-5</v>
          </cell>
          <cell r="J568">
            <v>4.7205492705707897E-5</v>
          </cell>
        </row>
        <row r="569">
          <cell r="B569" t="str">
            <v>CT_CWODBDS</v>
          </cell>
          <cell r="C569" t="str">
            <v>VAR_fin</v>
          </cell>
          <cell r="D569" t="str">
            <v>CWOD</v>
          </cell>
          <cell r="E569">
            <v>1.1746013784922615</v>
          </cell>
          <cell r="F569">
            <v>8.6251766461364481E-5</v>
          </cell>
          <cell r="G569">
            <v>1.7834972729780965</v>
          </cell>
          <cell r="H569">
            <v>9.563293414061796E-4</v>
          </cell>
          <cell r="I569">
            <v>5.752849704144386E-4</v>
          </cell>
          <cell r="J569">
            <v>3.4490269606388417E-4</v>
          </cell>
        </row>
        <row r="570">
          <cell r="B570" t="str">
            <v>CT_CWODBDS</v>
          </cell>
          <cell r="C570" t="str">
            <v>VAR_fin</v>
          </cell>
          <cell r="D570" t="str">
            <v>CELC</v>
          </cell>
          <cell r="E570">
            <v>2.8648814109567357E-2</v>
          </cell>
          <cell r="F570">
            <v>2.1037016210088927E-6</v>
          </cell>
          <cell r="G570">
            <v>4.3499933487270652E-2</v>
          </cell>
          <cell r="H570">
            <v>2.3325105887955594E-5</v>
          </cell>
          <cell r="I570">
            <v>1.4031340741815573E-5</v>
          </cell>
          <cell r="J570">
            <v>8.4122608796069253E-6</v>
          </cell>
        </row>
        <row r="571">
          <cell r="B571" t="str">
            <v>CT_CWODBDS</v>
          </cell>
          <cell r="C571" t="str">
            <v>VAR_ncap</v>
          </cell>
          <cell r="D571" t="str">
            <v>-</v>
          </cell>
          <cell r="E571">
            <v>9.7931352710976505E-8</v>
          </cell>
          <cell r="F571">
            <v>8.25653260432987E-8</v>
          </cell>
          <cell r="G571">
            <v>1.3146591395908601E-7</v>
          </cell>
          <cell r="H571">
            <v>1.1959348778608E-7</v>
          </cell>
          <cell r="I571">
            <v>1.7194847741304899E-6</v>
          </cell>
          <cell r="J571">
            <v>2.5202693361108901E-7</v>
          </cell>
        </row>
        <row r="572">
          <cell r="B572" t="str">
            <v>CT_CWODBDS</v>
          </cell>
          <cell r="C572" t="str">
            <v>VAR_cap</v>
          </cell>
          <cell r="D572" t="str">
            <v>-</v>
          </cell>
          <cell r="E572">
            <v>3.2458748963395109E-2</v>
          </cell>
          <cell r="F572">
            <v>3.2456054028960055E-2</v>
          </cell>
          <cell r="G572">
            <v>3.2455962537740114E-2</v>
          </cell>
          <cell r="H572">
            <v>2.7997368399292066E-5</v>
          </cell>
          <cell r="I572">
            <v>1.5264494660999815E-5</v>
          </cell>
          <cell r="J572">
            <v>1.2542925294583958E-5</v>
          </cell>
        </row>
        <row r="573">
          <cell r="B573" t="str">
            <v>RHNS-EBAT</v>
          </cell>
          <cell r="C573" t="str">
            <v>VAR_fout</v>
          </cell>
          <cell r="D573" t="str">
            <v>RHNS_ELC</v>
          </cell>
          <cell r="E573">
            <v>5.0012932267914185E-4</v>
          </cell>
          <cell r="F573">
            <v>4.9884093064579368E-4</v>
          </cell>
          <cell r="G573">
            <v>5.0332140348692187E-4</v>
          </cell>
          <cell r="H573">
            <v>4.3825048281000589E-2</v>
          </cell>
          <cell r="I573">
            <v>2.2960327684763835E-2</v>
          </cell>
          <cell r="J573">
            <v>0.11423155653018791</v>
          </cell>
        </row>
        <row r="574">
          <cell r="B574" t="str">
            <v>RHNS-EBAT</v>
          </cell>
          <cell r="C574" t="str">
            <v>VAR_fout</v>
          </cell>
          <cell r="D574" t="str">
            <v>AUX_RHNS-EBAT_OUT</v>
          </cell>
          <cell r="E574">
            <v>5.0012932267914239E-4</v>
          </cell>
          <cell r="F574">
            <v>4.9884093064579444E-4</v>
          </cell>
          <cell r="G574">
            <v>5.0332140348692241E-4</v>
          </cell>
          <cell r="H574">
            <v>4.3825048281000631E-2</v>
          </cell>
          <cell r="I574">
            <v>2.2960327684763849E-2</v>
          </cell>
          <cell r="J574">
            <v>0.11423155653018806</v>
          </cell>
        </row>
        <row r="575">
          <cell r="B575" t="str">
            <v>RHNS-EBAT</v>
          </cell>
          <cell r="C575" t="str">
            <v>VAR_fin</v>
          </cell>
          <cell r="D575" t="str">
            <v>RHNS_ELC</v>
          </cell>
          <cell r="E575">
            <v>5.548245509807764E-4</v>
          </cell>
          <cell r="F575">
            <v>5.5347659956256129E-4</v>
          </cell>
          <cell r="G575">
            <v>5.5681109183852544E-4</v>
          </cell>
          <cell r="H575">
            <v>4.8464784912116067E-2</v>
          </cell>
          <cell r="I575">
            <v>2.5391282175279899E-2</v>
          </cell>
          <cell r="J575">
            <v>0.12632486312169208</v>
          </cell>
        </row>
        <row r="576">
          <cell r="B576" t="str">
            <v>RHNS-EBAT</v>
          </cell>
          <cell r="C576" t="str">
            <v>VAR_fin</v>
          </cell>
          <cell r="D576" t="str">
            <v>AUX_RHNS-EBAT_IN</v>
          </cell>
          <cell r="E576">
            <v>5.548245509807764E-4</v>
          </cell>
          <cell r="F576">
            <v>5.5347659956256129E-4</v>
          </cell>
          <cell r="G576">
            <v>5.5681109183852544E-4</v>
          </cell>
          <cell r="H576">
            <v>4.8464784912116067E-2</v>
          </cell>
          <cell r="I576">
            <v>2.5391282175279899E-2</v>
          </cell>
          <cell r="J576">
            <v>0.12632486312169208</v>
          </cell>
        </row>
        <row r="577">
          <cell r="B577" t="str">
            <v>RHNS-EBAT</v>
          </cell>
          <cell r="C577" t="str">
            <v>VAR_ncap</v>
          </cell>
          <cell r="D577" t="str">
            <v>-</v>
          </cell>
          <cell r="E577">
            <v>2.0172858669971499E-4</v>
          </cell>
          <cell r="F577">
            <v>3.3300264297080599E-7</v>
          </cell>
          <cell r="G577">
            <v>1.5988785619374699E-6</v>
          </cell>
          <cell r="H577">
            <v>2.44514844803209E-2</v>
          </cell>
          <cell r="I577">
            <v>7.5080799845885504E-3</v>
          </cell>
          <cell r="J577">
            <v>5.3685177054060403E-2</v>
          </cell>
        </row>
        <row r="578">
          <cell r="B578" t="str">
            <v>RHNS-EBAT</v>
          </cell>
          <cell r="C578" t="str">
            <v>VAR_cap</v>
          </cell>
          <cell r="D578" t="str">
            <v>-</v>
          </cell>
          <cell r="E578">
            <v>2.0446251060571091E-4</v>
          </cell>
          <cell r="F578">
            <v>2.0467249442370058E-4</v>
          </cell>
          <cell r="G578">
            <v>2.0609063637999425E-4</v>
          </cell>
          <cell r="H578">
            <v>2.4600581054628885E-2</v>
          </cell>
          <cell r="I578">
            <v>1.4013539927057917E-2</v>
          </cell>
          <cell r="J578">
            <v>5.7832041523927229E-2</v>
          </cell>
        </row>
        <row r="579">
          <cell r="B579" t="str">
            <v>G-INTC-EXP00-AT</v>
          </cell>
          <cell r="C579" t="str">
            <v>VAR_fout</v>
          </cell>
          <cell r="D579" t="str">
            <v>ELC_E-AT</v>
          </cell>
          <cell r="E579">
            <v>6.2295555511042444</v>
          </cell>
          <cell r="F579">
            <v>2.8846889171064174E-4</v>
          </cell>
          <cell r="G579">
            <v>3.4845461346781045E-4</v>
          </cell>
          <cell r="H579">
            <v>6.7968442276893505E-5</v>
          </cell>
          <cell r="I579">
            <v>8.8924678924087716E-5</v>
          </cell>
          <cell r="J579">
            <v>5.2907038359206552E-5</v>
          </cell>
        </row>
        <row r="580">
          <cell r="B580" t="str">
            <v>G-INTC-EXP00-AT</v>
          </cell>
          <cell r="C580" t="str">
            <v>VAR_fin</v>
          </cell>
          <cell r="D580" t="str">
            <v>ELC</v>
          </cell>
          <cell r="E580">
            <v>6.2295555511042444</v>
          </cell>
          <cell r="F580">
            <v>2.8846889171064174E-4</v>
          </cell>
          <cell r="G580">
            <v>3.4845461346781045E-4</v>
          </cell>
          <cell r="H580">
            <v>6.7968442276893505E-5</v>
          </cell>
          <cell r="I580">
            <v>8.8924678924087716E-5</v>
          </cell>
          <cell r="J580">
            <v>5.2907038359206552E-5</v>
          </cell>
        </row>
        <row r="581">
          <cell r="B581" t="str">
            <v>G-INTC-EXP00-AT</v>
          </cell>
          <cell r="C581" t="str">
            <v>VAR_ncap</v>
          </cell>
          <cell r="D581" t="str">
            <v>-</v>
          </cell>
          <cell r="E581">
            <v>1.4137099211217199E-7</v>
          </cell>
          <cell r="F581">
            <v>1.38437907650248E-7</v>
          </cell>
          <cell r="G581">
            <v>1.57990567552266E-7</v>
          </cell>
          <cell r="H581">
            <v>1.7256661456834499E-7</v>
          </cell>
          <cell r="I581">
            <v>2.9384925647771901E-7</v>
          </cell>
          <cell r="J581">
            <v>6.8478730688090304E-7</v>
          </cell>
        </row>
        <row r="582">
          <cell r="B582" t="str">
            <v>G-INTC-EXP00-AT</v>
          </cell>
          <cell r="C582" t="str">
            <v>VAR_cap</v>
          </cell>
          <cell r="D582" t="str">
            <v>-</v>
          </cell>
          <cell r="E582">
            <v>0.23111534962538294</v>
          </cell>
          <cell r="F582">
            <v>1.8044531439986855E-4</v>
          </cell>
          <cell r="G582">
            <v>1.7921405680998426E-4</v>
          </cell>
          <cell r="H582">
            <v>1.7795970868639266E-4</v>
          </cell>
          <cell r="I582">
            <v>1.7717976884190634E-4</v>
          </cell>
          <cell r="J582">
            <v>1.779921264151163E-4</v>
          </cell>
        </row>
        <row r="583">
          <cell r="B583" t="str">
            <v>G-INTC-IMP00-DE</v>
          </cell>
          <cell r="C583" t="str">
            <v>VAR_fout</v>
          </cell>
          <cell r="D583" t="str">
            <v>ELC</v>
          </cell>
          <cell r="E583">
            <v>46.398475558501573</v>
          </cell>
          <cell r="F583">
            <v>35.891849205198618</v>
          </cell>
          <cell r="G583">
            <v>31.622899408519753</v>
          </cell>
          <cell r="H583">
            <v>38.135521314842329</v>
          </cell>
          <cell r="I583">
            <v>35.474594954526495</v>
          </cell>
          <cell r="J583">
            <v>28.461176740403385</v>
          </cell>
        </row>
        <row r="584">
          <cell r="B584" t="str">
            <v>G-INTC-IMP00-DE</v>
          </cell>
          <cell r="C584" t="str">
            <v>VAR_fin</v>
          </cell>
          <cell r="D584" t="str">
            <v>ELC_I-DE</v>
          </cell>
          <cell r="E584">
            <v>46.398475558501573</v>
          </cell>
          <cell r="F584">
            <v>35.891849205198618</v>
          </cell>
          <cell r="G584">
            <v>31.622899408519753</v>
          </cell>
          <cell r="H584">
            <v>38.135521314842329</v>
          </cell>
          <cell r="I584">
            <v>35.474594954526495</v>
          </cell>
          <cell r="J584">
            <v>28.461176740403385</v>
          </cell>
        </row>
        <row r="585">
          <cell r="B585" t="str">
            <v>G-INTC-IMP00-DE</v>
          </cell>
          <cell r="C585" t="str">
            <v>VAR_ncap</v>
          </cell>
          <cell r="D585" t="str">
            <v>-</v>
          </cell>
          <cell r="E585">
            <v>5.1762357044977998E-7</v>
          </cell>
          <cell r="F585">
            <v>4.9660647271189605E-7</v>
          </cell>
          <cell r="G585">
            <v>6.1143101135612805E-7</v>
          </cell>
          <cell r="H585">
            <v>5.0249382497240896E-7</v>
          </cell>
          <cell r="I585">
            <v>1.30038079324496E-6</v>
          </cell>
          <cell r="J585">
            <v>1.97031946239217E-6</v>
          </cell>
        </row>
        <row r="586">
          <cell r="B586" t="str">
            <v>G-INTC-IMP00-DE</v>
          </cell>
          <cell r="C586" t="str">
            <v>VAR_cap</v>
          </cell>
          <cell r="D586" t="str">
            <v>-</v>
          </cell>
          <cell r="E586">
            <v>2.4000054866580602</v>
          </cell>
          <cell r="F586">
            <v>2.4000004042078604</v>
          </cell>
          <cell r="G586">
            <v>2.3999994752237699</v>
          </cell>
          <cell r="H586">
            <v>2.3999995136305454</v>
          </cell>
          <cell r="I586">
            <v>2.3999977243240593</v>
          </cell>
          <cell r="J586">
            <v>2.3999989522143372</v>
          </cell>
        </row>
        <row r="587">
          <cell r="B587" t="str">
            <v>RHEM-SHSTG-CHPWOD</v>
          </cell>
          <cell r="C587" t="str">
            <v>VAR_fout</v>
          </cell>
          <cell r="D587" t="str">
            <v>AUX_REM-CHPWOD_OUT</v>
          </cell>
          <cell r="E587">
            <v>5.3848735225686502E-5</v>
          </cell>
          <cell r="F587">
            <v>5.6968790177842863E-5</v>
          </cell>
          <cell r="G587">
            <v>3.0512036474718999E-5</v>
          </cell>
          <cell r="H587">
            <v>5.7363973347484296E-4</v>
          </cell>
          <cell r="I587">
            <v>2.8258071014879015E-3</v>
          </cell>
          <cell r="J587">
            <v>2.7394146454487716E-3</v>
          </cell>
        </row>
        <row r="588">
          <cell r="B588" t="str">
            <v>RHEM-SHSTG-CHPWOD</v>
          </cell>
          <cell r="C588" t="str">
            <v>VAR_fout</v>
          </cell>
          <cell r="D588" t="str">
            <v>RHEM_LTH_CHPWOD</v>
          </cell>
          <cell r="E588">
            <v>5.3848735225686359E-5</v>
          </cell>
          <cell r="F588">
            <v>5.7006769371294608E-5</v>
          </cell>
          <cell r="G588">
            <v>3.054381984604678E-5</v>
          </cell>
          <cell r="H588">
            <v>5.7363973347484296E-4</v>
          </cell>
          <cell r="I588">
            <v>2.8258071014878898E-3</v>
          </cell>
          <cell r="J588">
            <v>2.7394146454487712E-3</v>
          </cell>
        </row>
        <row r="589">
          <cell r="B589" t="str">
            <v>RHEM-SHSTG-CHPWOD</v>
          </cell>
          <cell r="C589" t="str">
            <v>VAR_fin</v>
          </cell>
          <cell r="D589" t="str">
            <v>AUX_REM-CHPWOD_IN</v>
          </cell>
          <cell r="E589">
            <v>4.2412771686436648E-5</v>
          </cell>
          <cell r="F589">
            <v>4.3798851619204216E-5</v>
          </cell>
          <cell r="G589">
            <v>2.4414720249815959E-5</v>
          </cell>
          <cell r="H589">
            <v>7.1783886075644197E-4</v>
          </cell>
          <cell r="I589">
            <v>3.3254502888695235E-3</v>
          </cell>
          <cell r="J589">
            <v>3.0446864914671309E-3</v>
          </cell>
        </row>
        <row r="590">
          <cell r="B590" t="str">
            <v>RHEM-SHSTG-CHPWOD</v>
          </cell>
          <cell r="C590" t="str">
            <v>VAR_fin</v>
          </cell>
          <cell r="D590" t="str">
            <v>RHEM_LTH_CHPWOD</v>
          </cell>
          <cell r="E590">
            <v>4.2412771686436648E-5</v>
          </cell>
          <cell r="F590">
            <v>4.3798851619204216E-5</v>
          </cell>
          <cell r="G590">
            <v>2.4414720249815959E-5</v>
          </cell>
          <cell r="H590">
            <v>7.1783886075644197E-4</v>
          </cell>
          <cell r="I590">
            <v>3.3254502888695235E-3</v>
          </cell>
          <cell r="J590">
            <v>3.0446864914671309E-3</v>
          </cell>
        </row>
        <row r="591">
          <cell r="B591" t="str">
            <v>RHEM-SHSTG-CHPWOD</v>
          </cell>
          <cell r="C591" t="str">
            <v>VAR_ncap</v>
          </cell>
          <cell r="D591" t="str">
            <v>-</v>
          </cell>
          <cell r="E591">
            <v>9.4744864361165501E-4</v>
          </cell>
          <cell r="F591">
            <v>2.2946816348099901E-5</v>
          </cell>
          <cell r="G591">
            <v>3.5405732525598797E-5</v>
          </cell>
          <cell r="H591">
            <v>2.8450427312753101E-5</v>
          </cell>
          <cell r="I591">
            <v>8.2348094125106098E-5</v>
          </cell>
          <cell r="J591">
            <v>1.7196259693843001E-4</v>
          </cell>
        </row>
        <row r="592">
          <cell r="B592" t="str">
            <v>RHEM-SHSTG-CHPWOD</v>
          </cell>
          <cell r="C592" t="str">
            <v>VAR_cap</v>
          </cell>
          <cell r="D592" t="str">
            <v>-</v>
          </cell>
          <cell r="E592">
            <v>9.4744864361165501E-4</v>
          </cell>
          <cell r="F592">
            <v>9.6752825370569626E-4</v>
          </cell>
          <cell r="G592">
            <v>9.9560877100178611E-4</v>
          </cell>
          <cell r="H592">
            <v>1.0125107629432402E-3</v>
          </cell>
          <cell r="I592">
            <v>1.3157509871761003E-3</v>
          </cell>
          <cell r="J592">
            <v>7.4088570836593215E-4</v>
          </cell>
        </row>
        <row r="593">
          <cell r="B593" t="str">
            <v>RHNM-CHPGFC</v>
          </cell>
          <cell r="C593" t="str">
            <v>VAR_fout</v>
          </cell>
          <cell r="D593" t="str">
            <v>CO2_R</v>
          </cell>
          <cell r="H593">
            <v>2.97976472243302E-2</v>
          </cell>
          <cell r="I593">
            <v>0.231211387550808</v>
          </cell>
          <cell r="J593">
            <v>0.193918467484158</v>
          </cell>
        </row>
        <row r="594">
          <cell r="B594" t="str">
            <v>RHNM-CHPGFC</v>
          </cell>
          <cell r="C594" t="str">
            <v>VAR_fout</v>
          </cell>
          <cell r="D594" t="str">
            <v>RHNM_NKEV_GAS_ELC_CHP</v>
          </cell>
          <cell r="H594">
            <v>2.2189737294714016E-4</v>
          </cell>
          <cell r="I594">
            <v>1.8037767823112629E-3</v>
          </cell>
          <cell r="J594">
            <v>1.5472218150331721E-3</v>
          </cell>
        </row>
        <row r="595">
          <cell r="B595" t="str">
            <v>RHNM-CHPGFC</v>
          </cell>
          <cell r="C595" t="str">
            <v>VAR_fout</v>
          </cell>
          <cell r="D595" t="str">
            <v>RHNM_LTH_CHPNGA</v>
          </cell>
          <cell r="H595">
            <v>2.4852505770079725E-4</v>
          </cell>
          <cell r="I595">
            <v>1.9120033892499385E-3</v>
          </cell>
          <cell r="J595">
            <v>1.5472218150331721E-3</v>
          </cell>
        </row>
        <row r="596">
          <cell r="B596" t="str">
            <v>RHNM-CHPGFC</v>
          </cell>
          <cell r="C596" t="str">
            <v>VAR_fin</v>
          </cell>
          <cell r="D596" t="str">
            <v>RNGA</v>
          </cell>
          <cell r="H596">
            <v>5.2832707844557185E-4</v>
          </cell>
          <cell r="I596">
            <v>4.0994926870710534E-3</v>
          </cell>
          <cell r="J596">
            <v>3.4382707000737188E-3</v>
          </cell>
        </row>
        <row r="597">
          <cell r="B597" t="str">
            <v>RHNM-CHPGFC</v>
          </cell>
          <cell r="C597" t="str">
            <v>VAR_ncap</v>
          </cell>
          <cell r="D597" t="str">
            <v>-</v>
          </cell>
          <cell r="H597">
            <v>1.97232491964239E-5</v>
          </cell>
          <cell r="I597">
            <v>8.2388646887695494E-5</v>
          </cell>
          <cell r="J597">
            <v>3.70202230018704E-6</v>
          </cell>
        </row>
        <row r="598">
          <cell r="B598" t="str">
            <v>RHNM-CHPGFC</v>
          </cell>
          <cell r="C598" t="str">
            <v>VAR_cap</v>
          </cell>
          <cell r="D598" t="str">
            <v>-</v>
          </cell>
          <cell r="H598">
            <v>1.97232491964239E-5</v>
          </cell>
          <cell r="I598">
            <v>1.6005196550026549E-4</v>
          </cell>
          <cell r="J598">
            <v>1.3732733526532228E-4</v>
          </cell>
        </row>
        <row r="599">
          <cell r="B599" t="str">
            <v>G-INTC-EXP00-FR</v>
          </cell>
          <cell r="C599" t="str">
            <v>VAR_fout</v>
          </cell>
          <cell r="D599" t="str">
            <v>ELC_E-FR</v>
          </cell>
          <cell r="E599">
            <v>12.753359201544781</v>
          </cell>
          <cell r="F599">
            <v>2.4799524607023432E-4</v>
          </cell>
          <cell r="G599">
            <v>2.461116361306078E-4</v>
          </cell>
          <cell r="H599">
            <v>1.3261752598820565E-4</v>
          </cell>
          <cell r="I599">
            <v>4.3975977908537349E-4</v>
          </cell>
          <cell r="J599">
            <v>2.7021477061074954E-4</v>
          </cell>
        </row>
        <row r="600">
          <cell r="B600" t="str">
            <v>G-INTC-EXP00-FR</v>
          </cell>
          <cell r="C600" t="str">
            <v>VAR_fin</v>
          </cell>
          <cell r="D600" t="str">
            <v>ELC</v>
          </cell>
          <cell r="E600">
            <v>12.753359201544781</v>
          </cell>
          <cell r="F600">
            <v>2.4799524607023432E-4</v>
          </cell>
          <cell r="G600">
            <v>2.461116361306078E-4</v>
          </cell>
          <cell r="H600">
            <v>1.3261752598820565E-4</v>
          </cell>
          <cell r="I600">
            <v>4.3975977908537349E-4</v>
          </cell>
          <cell r="J600">
            <v>2.7021477061074954E-4</v>
          </cell>
        </row>
        <row r="601">
          <cell r="B601" t="str">
            <v>G-INTC-EXP00-FR</v>
          </cell>
          <cell r="C601" t="str">
            <v>VAR_ncap</v>
          </cell>
          <cell r="D601" t="str">
            <v>-</v>
          </cell>
          <cell r="E601">
            <v>4.2531992309417099E-7</v>
          </cell>
          <cell r="F601">
            <v>3.6040589058595198E-7</v>
          </cell>
          <cell r="G601">
            <v>4.5085040246816498E-7</v>
          </cell>
          <cell r="H601">
            <v>5.4859376114415405E-7</v>
          </cell>
          <cell r="I601">
            <v>8.3905702439011797E-7</v>
          </cell>
          <cell r="J601">
            <v>1.3089134489783601E-6</v>
          </cell>
        </row>
        <row r="602">
          <cell r="B602" t="str">
            <v>G-INTC-EXP00-FR</v>
          </cell>
          <cell r="C602" t="str">
            <v>VAR_cap</v>
          </cell>
          <cell r="D602" t="str">
            <v>-</v>
          </cell>
          <cell r="E602">
            <v>1.2999979669252899</v>
          </cell>
          <cell r="F602">
            <v>2.6305786086999738E-4</v>
          </cell>
          <cell r="G602">
            <v>2.6186850199994005E-4</v>
          </cell>
          <cell r="H602">
            <v>2.6162603548307573E-4</v>
          </cell>
          <cell r="I602">
            <v>2.6160978378753086E-4</v>
          </cell>
          <cell r="J602">
            <v>2.6253505438700309E-4</v>
          </cell>
        </row>
        <row r="603">
          <cell r="B603" t="str">
            <v>RHNM-EBAT</v>
          </cell>
          <cell r="C603" t="str">
            <v>VAR_fout</v>
          </cell>
          <cell r="D603" t="str">
            <v>RHNM_ELC</v>
          </cell>
          <cell r="E603">
            <v>5.0016353176232198E-4</v>
          </cell>
          <cell r="F603">
            <v>4.9887414857543522E-4</v>
          </cell>
          <cell r="G603">
            <v>5.0387299507610966E-4</v>
          </cell>
          <cell r="H603">
            <v>4.5226063450570723E-2</v>
          </cell>
          <cell r="I603">
            <v>7.0592142100454128E-2</v>
          </cell>
          <cell r="J603">
            <v>0.11508704311250713</v>
          </cell>
        </row>
        <row r="604">
          <cell r="B604" t="str">
            <v>RHNM-EBAT</v>
          </cell>
          <cell r="C604" t="str">
            <v>VAR_fout</v>
          </cell>
          <cell r="D604" t="str">
            <v>AUX_RHNM-EBAT_OUT</v>
          </cell>
          <cell r="E604">
            <v>5.0016353176232252E-4</v>
          </cell>
          <cell r="F604">
            <v>4.9887414857543555E-4</v>
          </cell>
          <cell r="G604">
            <v>5.038729950761101E-4</v>
          </cell>
          <cell r="H604">
            <v>4.5226063450570786E-2</v>
          </cell>
          <cell r="I604">
            <v>7.0592142100454183E-2</v>
          </cell>
          <cell r="J604">
            <v>0.11508704311250721</v>
          </cell>
        </row>
        <row r="605">
          <cell r="B605" t="str">
            <v>RHNM-EBAT</v>
          </cell>
          <cell r="C605" t="str">
            <v>VAR_fin</v>
          </cell>
          <cell r="D605" t="str">
            <v>RHNM_ELC</v>
          </cell>
          <cell r="E605">
            <v>5.5486238160158794E-4</v>
          </cell>
          <cell r="F605">
            <v>5.5351764502803067E-4</v>
          </cell>
          <cell r="G605">
            <v>5.5737147811672197E-4</v>
          </cell>
          <cell r="H605">
            <v>5.0014115677874484E-2</v>
          </cell>
          <cell r="I605">
            <v>7.8065623617882954E-2</v>
          </cell>
          <cell r="J605">
            <v>0.12727091191580717</v>
          </cell>
        </row>
        <row r="606">
          <cell r="B606" t="str">
            <v>RHNM-EBAT</v>
          </cell>
          <cell r="C606" t="str">
            <v>VAR_fin</v>
          </cell>
          <cell r="D606" t="str">
            <v>AUX_RHNM-EBAT_IN</v>
          </cell>
          <cell r="E606">
            <v>5.5486238160158794E-4</v>
          </cell>
          <cell r="F606">
            <v>5.5351764502803067E-4</v>
          </cell>
          <cell r="G606">
            <v>5.5737147811672197E-4</v>
          </cell>
          <cell r="H606">
            <v>5.0014115677874484E-2</v>
          </cell>
          <cell r="I606">
            <v>7.8065623617882954E-2</v>
          </cell>
          <cell r="J606">
            <v>0.12727091191580717</v>
          </cell>
        </row>
        <row r="607">
          <cell r="B607" t="str">
            <v>RHNM-EBAT</v>
          </cell>
          <cell r="C607" t="str">
            <v>VAR_ncap</v>
          </cell>
          <cell r="D607" t="str">
            <v>-</v>
          </cell>
          <cell r="E607">
            <v>2.0174216106763401E-4</v>
          </cell>
          <cell r="F607">
            <v>3.3290517457655103E-7</v>
          </cell>
          <cell r="G607">
            <v>1.60400676507447E-6</v>
          </cell>
          <cell r="H607">
            <v>2.5361673758062399E-2</v>
          </cell>
          <cell r="I607">
            <v>4.9354549228180299E-2</v>
          </cell>
          <cell r="J607">
            <v>3.3232087735639203E-2</v>
          </cell>
        </row>
        <row r="608">
          <cell r="B608" t="str">
            <v>RHNM-EBAT</v>
          </cell>
          <cell r="C608" t="str">
            <v>VAR_cap</v>
          </cell>
          <cell r="D608" t="str">
            <v>-</v>
          </cell>
          <cell r="E608">
            <v>2.0447609611690224E-4</v>
          </cell>
          <cell r="F608">
            <v>2.0468603675890734E-4</v>
          </cell>
          <cell r="G608">
            <v>2.0610898634115801E-4</v>
          </cell>
          <cell r="H608">
            <v>2.5510785166185618E-2</v>
          </cell>
          <cell r="I608">
            <v>5.5569608813000493E-2</v>
          </cell>
          <cell r="J608">
            <v>5.8285924993777369E-2</v>
          </cell>
        </row>
        <row r="609">
          <cell r="B609" t="str">
            <v>ITOT-CHPWST</v>
          </cell>
          <cell r="C609" t="str">
            <v>VAR_fout</v>
          </cell>
          <cell r="D609" t="str">
            <v>ITOT_LTH_CHP</v>
          </cell>
          <cell r="E609">
            <v>1.9348106609507449</v>
          </cell>
          <cell r="F609">
            <v>1.8587679192142668</v>
          </cell>
          <cell r="G609">
            <v>2.5502914993972658</v>
          </cell>
          <cell r="H609">
            <v>2.2433304809399512</v>
          </cell>
          <cell r="I609">
            <v>1.658925838447634</v>
          </cell>
          <cell r="J609">
            <v>1.0997681386292535</v>
          </cell>
        </row>
        <row r="610">
          <cell r="B610" t="str">
            <v>ITOT-CHPWST</v>
          </cell>
          <cell r="C610" t="str">
            <v>VAR_fout</v>
          </cell>
          <cell r="D610" t="str">
            <v>ITOT_KEV_WST_ELC_CHP</v>
          </cell>
          <cell r="E610">
            <v>0.2300437010007608</v>
          </cell>
          <cell r="F610">
            <v>0.2301576543065095</v>
          </cell>
          <cell r="G610">
            <v>0.33670653183539301</v>
          </cell>
          <cell r="H610">
            <v>0.33294551668137751</v>
          </cell>
          <cell r="I610">
            <v>0.32752479506132698</v>
          </cell>
          <cell r="J610">
            <v>0.32420046160345822</v>
          </cell>
        </row>
        <row r="611">
          <cell r="B611" t="str">
            <v>ITOT-CHPWST</v>
          </cell>
          <cell r="C611" t="str">
            <v>VAR_fout</v>
          </cell>
          <cell r="D611" t="str">
            <v>CO2_I</v>
          </cell>
          <cell r="E611">
            <v>344.47002044295903</v>
          </cell>
          <cell r="F611">
            <v>344.645148088192</v>
          </cell>
          <cell r="G611">
            <v>504.19605855592999</v>
          </cell>
          <cell r="H611">
            <v>498.56418379993102</v>
          </cell>
          <cell r="I611">
            <v>490.447006920528</v>
          </cell>
          <cell r="J611">
            <v>485.46903450744003</v>
          </cell>
        </row>
        <row r="612">
          <cell r="B612" t="str">
            <v>ITOT-CHPWST</v>
          </cell>
          <cell r="C612" t="str">
            <v>VAR_fin</v>
          </cell>
          <cell r="D612" t="str">
            <v>IWST</v>
          </cell>
          <cell r="E612">
            <v>3.7119614271870538</v>
          </cell>
          <cell r="F612">
            <v>3.7138485785365507</v>
          </cell>
          <cell r="G612">
            <v>5.4331471827147624</v>
          </cell>
          <cell r="H612">
            <v>5.3724588771544326</v>
          </cell>
          <cell r="I612">
            <v>5.2849892987125831</v>
          </cell>
          <cell r="J612">
            <v>5.2313473546060383</v>
          </cell>
        </row>
        <row r="613">
          <cell r="B613" t="str">
            <v>ITOT-CHPWST</v>
          </cell>
          <cell r="C613" t="str">
            <v>VAR_ncap</v>
          </cell>
          <cell r="D613" t="str">
            <v>-</v>
          </cell>
          <cell r="F613">
            <v>4.14511189641919E-8</v>
          </cell>
          <cell r="G613">
            <v>7.0395621311445206E-8</v>
          </cell>
          <cell r="H613">
            <v>1.16904855986213E-3</v>
          </cell>
          <cell r="I613">
            <v>7.38302550371815E-4</v>
          </cell>
          <cell r="J613">
            <v>3.3314581376017098E-3</v>
          </cell>
        </row>
        <row r="614">
          <cell r="B614" t="str">
            <v>ITOT-CHPWST</v>
          </cell>
          <cell r="C614" t="str">
            <v>VAR_cap</v>
          </cell>
          <cell r="D614" t="str">
            <v>-</v>
          </cell>
          <cell r="E614">
            <v>4.7679065981285601E-2</v>
          </cell>
          <cell r="F614">
            <v>1.4546448289388059E-2</v>
          </cell>
          <cell r="G614">
            <v>1.454630318412517E-2</v>
          </cell>
          <cell r="H614">
            <v>1.35457837559789E-2</v>
          </cell>
          <cell r="I614">
            <v>1.332740476163144E-2</v>
          </cell>
          <cell r="J614">
            <v>1.3190161254379464E-2</v>
          </cell>
        </row>
        <row r="615">
          <cell r="B615" t="str">
            <v>CAES-EBAT</v>
          </cell>
          <cell r="C615" t="str">
            <v>VAR_fout</v>
          </cell>
          <cell r="D615" t="str">
            <v>ELC13</v>
          </cell>
          <cell r="E615">
            <v>9.4513902411332562E-2</v>
          </cell>
          <cell r="F615">
            <v>5.9089510275517586E-3</v>
          </cell>
          <cell r="G615">
            <v>6.9367069511085691E-2</v>
          </cell>
          <cell r="H615">
            <v>6.9356202772801273E-2</v>
          </cell>
          <cell r="I615">
            <v>1.9828891552237007E-2</v>
          </cell>
          <cell r="J615">
            <v>9.4491915294046144E-2</v>
          </cell>
        </row>
        <row r="616">
          <cell r="B616" t="str">
            <v>CAES-EBAT</v>
          </cell>
          <cell r="C616" t="str">
            <v>VAR_fout</v>
          </cell>
          <cell r="D616" t="str">
            <v>AUX_CAES_OUT</v>
          </cell>
          <cell r="E616">
            <v>9.4513902411332465E-2</v>
          </cell>
          <cell r="F616">
            <v>5.9089510275517482E-3</v>
          </cell>
          <cell r="G616">
            <v>6.9367069511085636E-2</v>
          </cell>
          <cell r="H616">
            <v>6.9356202772801204E-2</v>
          </cell>
          <cell r="I616">
            <v>1.9828891552236987E-2</v>
          </cell>
          <cell r="J616">
            <v>9.4491915294046117E-2</v>
          </cell>
        </row>
        <row r="617">
          <cell r="B617" t="str">
            <v>CAES-EBAT</v>
          </cell>
          <cell r="C617" t="str">
            <v>VAR_fin</v>
          </cell>
          <cell r="D617" t="str">
            <v>ELC13</v>
          </cell>
          <cell r="E617">
            <v>0.13502405841572682</v>
          </cell>
          <cell r="F617">
            <v>8.4435000330121222E-3</v>
          </cell>
          <cell r="G617">
            <v>9.9096128133169245E-2</v>
          </cell>
          <cell r="H617">
            <v>9.9080940439404047E-2</v>
          </cell>
          <cell r="I617">
            <v>2.8329846775653943E-2</v>
          </cell>
          <cell r="J617">
            <v>0.13499045070608531</v>
          </cell>
        </row>
        <row r="618">
          <cell r="B618" t="str">
            <v>CAES-EBAT</v>
          </cell>
          <cell r="C618" t="str">
            <v>VAR_fin</v>
          </cell>
          <cell r="D618" t="str">
            <v>AUX_CAES_IN</v>
          </cell>
          <cell r="E618">
            <v>0.13502405841572682</v>
          </cell>
          <cell r="F618">
            <v>8.4435000330121222E-3</v>
          </cell>
          <cell r="G618">
            <v>9.9096128133169245E-2</v>
          </cell>
          <cell r="H618">
            <v>9.9080940439404047E-2</v>
          </cell>
          <cell r="I618">
            <v>2.8329846775653943E-2</v>
          </cell>
          <cell r="J618">
            <v>0.13499045070608531</v>
          </cell>
        </row>
        <row r="619">
          <cell r="B619" t="str">
            <v>CAES-EBAT</v>
          </cell>
          <cell r="C619" t="str">
            <v>VAR_ncap</v>
          </cell>
          <cell r="D619" t="str">
            <v>-</v>
          </cell>
          <cell r="F619">
            <v>3.1043257248921401E-7</v>
          </cell>
          <cell r="G619">
            <v>2.9702079604312602E-7</v>
          </cell>
          <cell r="H619">
            <v>2.5644252636167099E-7</v>
          </cell>
          <cell r="I619">
            <v>6.16609013705687E-7</v>
          </cell>
          <cell r="J619">
            <v>2.6597326491902301E-2</v>
          </cell>
        </row>
        <row r="620">
          <cell r="B620" t="str">
            <v>CAES-EBAT</v>
          </cell>
          <cell r="C620" t="str">
            <v>VAR_cap</v>
          </cell>
          <cell r="D620" t="str">
            <v>-</v>
          </cell>
          <cell r="E620">
            <v>0.1</v>
          </cell>
          <cell r="F620">
            <v>7.3402246406805802E-2</v>
          </cell>
          <cell r="G620">
            <v>7.3402079272981535E-2</v>
          </cell>
          <cell r="H620">
            <v>7.34018782576248E-2</v>
          </cell>
          <cell r="I620">
            <v>7.340224810050873E-2</v>
          </cell>
          <cell r="J620">
            <v>9.9999313052278799E-2</v>
          </cell>
        </row>
        <row r="621">
          <cell r="B621" t="str">
            <v>HPLSOL</v>
          </cell>
          <cell r="C621" t="str">
            <v>VAR_fout</v>
          </cell>
          <cell r="D621" t="str">
            <v>LTH</v>
          </cell>
          <cell r="H621">
            <v>1.774501054923592E-5</v>
          </cell>
          <cell r="I621">
            <v>2.0816057202165292E-5</v>
          </cell>
          <cell r="J621">
            <v>2.1028340592726036E-5</v>
          </cell>
        </row>
        <row r="622">
          <cell r="B622" t="str">
            <v>HPLSOL</v>
          </cell>
          <cell r="C622" t="str">
            <v>VAR_fin</v>
          </cell>
          <cell r="D622" t="str">
            <v>SOL</v>
          </cell>
          <cell r="H622">
            <v>1.774501054923592E-5</v>
          </cell>
          <cell r="I622">
            <v>2.0816057202165292E-5</v>
          </cell>
          <cell r="J622">
            <v>2.1028340592726036E-5</v>
          </cell>
        </row>
        <row r="623">
          <cell r="B623" t="str">
            <v>HPLSOL</v>
          </cell>
          <cell r="C623" t="str">
            <v>VAR_ncap</v>
          </cell>
          <cell r="D623" t="str">
            <v>-</v>
          </cell>
          <cell r="H623">
            <v>4.3556089623150399E-6</v>
          </cell>
          <cell r="I623">
            <v>1.35912738218691E-7</v>
          </cell>
          <cell r="J623">
            <v>1.9611894452079302E-6</v>
          </cell>
        </row>
        <row r="624">
          <cell r="B624" t="str">
            <v>HPLSOL</v>
          </cell>
          <cell r="C624" t="str">
            <v>VAR_cap</v>
          </cell>
          <cell r="D624" t="str">
            <v>-</v>
          </cell>
          <cell r="H624">
            <v>4.3556089623150399E-6</v>
          </cell>
          <cell r="I624">
            <v>5.6983226886351801E-6</v>
          </cell>
          <cell r="J624">
            <v>4.1913691285897501E-6</v>
          </cell>
        </row>
        <row r="625">
          <cell r="B625" t="str">
            <v>RHEM-CHPNGA</v>
          </cell>
          <cell r="C625" t="str">
            <v>VAR_fout</v>
          </cell>
          <cell r="D625" t="str">
            <v>CO2_R</v>
          </cell>
          <cell r="E625">
            <v>5.7481012121997397</v>
          </cell>
          <cell r="F625">
            <v>0.11917972721004801</v>
          </cell>
          <cell r="G625">
            <v>0.25166502779862399</v>
          </cell>
          <cell r="H625">
            <v>20.855304321281402</v>
          </cell>
          <cell r="I625">
            <v>338.78707748790902</v>
          </cell>
          <cell r="J625">
            <v>301.03763852370901</v>
          </cell>
        </row>
        <row r="626">
          <cell r="B626" t="str">
            <v>RHEM-CHPNGA</v>
          </cell>
          <cell r="C626" t="str">
            <v>VAR_fout</v>
          </cell>
          <cell r="D626" t="str">
            <v>RHEM_LTH_CHPNGA</v>
          </cell>
          <cell r="E626">
            <v>6.0158570326476882E-2</v>
          </cell>
          <cell r="F626">
            <v>1.304397338713618E-3</v>
          </cell>
          <cell r="G626">
            <v>2.1288913283671203E-3</v>
          </cell>
          <cell r="H626">
            <v>0.22889850074778911</v>
          </cell>
          <cell r="I626">
            <v>3.6765432962343385</v>
          </cell>
          <cell r="J626">
            <v>3.2405220830989703</v>
          </cell>
        </row>
        <row r="627">
          <cell r="B627" t="str">
            <v>RHEM-CHPNGA</v>
          </cell>
          <cell r="C627" t="str">
            <v>VAR_fout</v>
          </cell>
          <cell r="D627" t="str">
            <v>RHEM_NKEV_GAS_ELC_CHP</v>
          </cell>
          <cell r="E627">
            <v>2.7692040309013132E-2</v>
          </cell>
          <cell r="F627">
            <v>6.0633986144520554E-4</v>
          </cell>
          <cell r="G627">
            <v>1.0044118523207103E-3</v>
          </cell>
          <cell r="H627">
            <v>0.11075733907151075</v>
          </cell>
          <cell r="I627">
            <v>1.8233263501649979</v>
          </cell>
          <cell r="J627">
            <v>1.6468226979683305</v>
          </cell>
        </row>
        <row r="628">
          <cell r="B628" t="str">
            <v>RHEM-CHPNGA</v>
          </cell>
          <cell r="C628" t="str">
            <v>VAR_fin</v>
          </cell>
          <cell r="D628" t="str">
            <v>RNGA</v>
          </cell>
          <cell r="E628">
            <v>0.10191668815956978</v>
          </cell>
          <cell r="F628">
            <v>2.1131157306746111E-3</v>
          </cell>
          <cell r="G628">
            <v>4.4621458829543301E-3</v>
          </cell>
          <cell r="H628">
            <v>0.36977489931350044</v>
          </cell>
          <cell r="I628">
            <v>6.0068630760267467</v>
          </cell>
          <cell r="J628">
            <v>5.3375467823352656</v>
          </cell>
        </row>
        <row r="629">
          <cell r="B629" t="str">
            <v>RHEM-CHPNGA</v>
          </cell>
          <cell r="C629" t="str">
            <v>VAR_ncap</v>
          </cell>
          <cell r="D629" t="str">
            <v>-</v>
          </cell>
          <cell r="F629">
            <v>4.4623179865738098E-8</v>
          </cell>
          <cell r="G629">
            <v>1.0072151339863E-6</v>
          </cell>
          <cell r="H629">
            <v>8.0352088742495394E-3</v>
          </cell>
          <cell r="I629">
            <v>9.23112535088043E-2</v>
          </cell>
          <cell r="J629">
            <v>1.6060741787565801E-7</v>
          </cell>
        </row>
        <row r="630">
          <cell r="B630" t="str">
            <v>RHEM-CHPNGA</v>
          </cell>
          <cell r="C630" t="str">
            <v>VAR_cap</v>
          </cell>
          <cell r="D630" t="str">
            <v>-</v>
          </cell>
          <cell r="E630">
            <v>8.3678209537735512E-3</v>
          </cell>
          <cell r="F630">
            <v>1.8254768152588773E-4</v>
          </cell>
          <cell r="G630">
            <v>1.8336556471870366E-4</v>
          </cell>
          <cell r="H630">
            <v>8.2186118767352424E-3</v>
          </cell>
          <cell r="I630">
            <v>0.13529706065134761</v>
          </cell>
          <cell r="J630">
            <v>0.12219987442694764</v>
          </cell>
        </row>
        <row r="631">
          <cell r="B631" t="str">
            <v>D-DH2</v>
          </cell>
          <cell r="C631" t="str">
            <v>VAR_fout</v>
          </cell>
          <cell r="D631" t="str">
            <v>H2</v>
          </cell>
          <cell r="H631">
            <v>4.2243627321486003E-8</v>
          </cell>
          <cell r="I631">
            <v>8.096212852761922E-2</v>
          </cell>
          <cell r="J631">
            <v>0.89032703789644529</v>
          </cell>
        </row>
        <row r="632">
          <cell r="B632" t="str">
            <v>D-DH2</v>
          </cell>
          <cell r="C632" t="str">
            <v>VAR_fin</v>
          </cell>
          <cell r="D632" t="str">
            <v>H2_E</v>
          </cell>
          <cell r="H632">
            <v>4.2670330627763398E-8</v>
          </cell>
          <cell r="I632">
            <v>8.177992780567607E-2</v>
          </cell>
          <cell r="J632">
            <v>0.89932024029943902</v>
          </cell>
        </row>
        <row r="633">
          <cell r="B633" t="str">
            <v>D-DH2</v>
          </cell>
          <cell r="C633" t="str">
            <v>VAR_ncap</v>
          </cell>
          <cell r="D633" t="str">
            <v>-</v>
          </cell>
          <cell r="H633">
            <v>1.50269528211797E-5</v>
          </cell>
          <cell r="I633">
            <v>1.0817133783782001E-2</v>
          </cell>
          <cell r="J633">
            <v>0.10869790031749001</v>
          </cell>
        </row>
        <row r="634">
          <cell r="B634" t="str">
            <v>D-DH2</v>
          </cell>
          <cell r="C634" t="str">
            <v>VAR_cap</v>
          </cell>
          <cell r="D634" t="str">
            <v>-</v>
          </cell>
          <cell r="H634">
            <v>1.50269528211797E-5</v>
          </cell>
          <cell r="I634">
            <v>1.0852583702177799E-2</v>
          </cell>
          <cell r="J634">
            <v>0.119550484019668</v>
          </cell>
        </row>
        <row r="635">
          <cell r="B635" t="str">
            <v>D-SBIO</v>
          </cell>
          <cell r="C635" t="str">
            <v>VAR_fout</v>
          </cell>
          <cell r="D635" t="str">
            <v>SBIO</v>
          </cell>
          <cell r="E635">
            <v>4.0476529705175457</v>
          </cell>
          <cell r="F635">
            <v>4.5833321174705732</v>
          </cell>
          <cell r="G635">
            <v>3.0421420061964355</v>
          </cell>
          <cell r="H635">
            <v>3.0322965969739273</v>
          </cell>
          <cell r="I635">
            <v>2.9495800149155924</v>
          </cell>
          <cell r="J635">
            <v>2.8713306201170341</v>
          </cell>
        </row>
        <row r="636">
          <cell r="B636" t="str">
            <v>D-SBIO</v>
          </cell>
          <cell r="C636" t="str">
            <v>VAR_fin</v>
          </cell>
          <cell r="D636" t="str">
            <v>BIO</v>
          </cell>
          <cell r="E636">
            <v>4.0476529705175457</v>
          </cell>
          <cell r="F636">
            <v>4.5833321174705732</v>
          </cell>
          <cell r="G636">
            <v>3.0421420061964355</v>
          </cell>
          <cell r="H636">
            <v>3.0322965969739273</v>
          </cell>
          <cell r="I636">
            <v>2.9495800149155924</v>
          </cell>
          <cell r="J636">
            <v>2.8713306201170341</v>
          </cell>
        </row>
        <row r="637">
          <cell r="B637" t="str">
            <v>SCOM-CHPBIO</v>
          </cell>
          <cell r="C637" t="str">
            <v>VAR_fout</v>
          </cell>
          <cell r="D637" t="str">
            <v>SCOM_LTH_CHPBIO</v>
          </cell>
          <cell r="E637">
            <v>1.4243098968046417</v>
          </cell>
          <cell r="F637">
            <v>1.5783326282880454</v>
          </cell>
          <cell r="G637">
            <v>1.4829300180654492</v>
          </cell>
          <cell r="H637">
            <v>1.3239257011659689</v>
          </cell>
          <cell r="I637">
            <v>1.0059194961993136</v>
          </cell>
          <cell r="J637">
            <v>1.0059183546857073</v>
          </cell>
        </row>
        <row r="638">
          <cell r="B638" t="str">
            <v>SCOM-CHPBIO</v>
          </cell>
          <cell r="C638" t="str">
            <v>VAR_fout</v>
          </cell>
          <cell r="D638" t="str">
            <v>SCOM_KEV_BIO_ELC_CHP</v>
          </cell>
          <cell r="E638">
            <v>0.95936563923522378</v>
          </cell>
          <cell r="F638">
            <v>1.1059498725719994</v>
          </cell>
          <cell r="G638">
            <v>1.1059497955148845</v>
          </cell>
          <cell r="H638">
            <v>1.1059496703680625</v>
          </cell>
          <cell r="I638">
            <v>1.1059520457967755</v>
          </cell>
          <cell r="J638">
            <v>1.105950779116402</v>
          </cell>
        </row>
        <row r="639">
          <cell r="B639" t="str">
            <v>SCOM-CHPBIO</v>
          </cell>
          <cell r="C639" t="str">
            <v>VAR_fin</v>
          </cell>
          <cell r="D639" t="str">
            <v>SBIO</v>
          </cell>
          <cell r="E639">
            <v>2.6453751496092268</v>
          </cell>
          <cell r="F639">
            <v>3.0461082666917774</v>
          </cell>
          <cell r="G639">
            <v>3.0421420061964355</v>
          </cell>
          <cell r="H639">
            <v>3.0322965969739273</v>
          </cell>
          <cell r="I639">
            <v>2.9495800149155924</v>
          </cell>
          <cell r="J639">
            <v>2.8713306201170341</v>
          </cell>
        </row>
        <row r="640">
          <cell r="B640" t="str">
            <v>SCOM-CHPBIO</v>
          </cell>
          <cell r="C640" t="str">
            <v>VAR_ncap</v>
          </cell>
          <cell r="D640" t="str">
            <v>-</v>
          </cell>
          <cell r="F640">
            <v>2.6187749075965001E-2</v>
          </cell>
          <cell r="G640">
            <v>6.5658969024516498E-3</v>
          </cell>
          <cell r="H640">
            <v>1.2221958878650701E-2</v>
          </cell>
          <cell r="I640">
            <v>4.4297442714653898E-2</v>
          </cell>
          <cell r="J640">
            <v>3.39500581762038E-2</v>
          </cell>
        </row>
        <row r="641">
          <cell r="B641" t="str">
            <v>SCOM-CHPBIO</v>
          </cell>
          <cell r="C641" t="str">
            <v>VAR_cap</v>
          </cell>
          <cell r="D641" t="str">
            <v>-</v>
          </cell>
          <cell r="E641">
            <v>7.35127E-2</v>
          </cell>
          <cell r="F641">
            <v>8.4745049128659586E-2</v>
          </cell>
          <cell r="G641">
            <v>8.4744991119671764E-2</v>
          </cell>
          <cell r="H641">
            <v>8.474527382374189E-2</v>
          </cell>
          <cell r="I641">
            <v>9.7890980068224109E-2</v>
          </cell>
          <cell r="J641">
            <v>8.4745144172549844E-2</v>
          </cell>
        </row>
        <row r="642">
          <cell r="B642" t="str">
            <v>SCOM-CHPHFC</v>
          </cell>
          <cell r="C642" t="str">
            <v>VAR_fout</v>
          </cell>
          <cell r="D642" t="str">
            <v>SCOM_KEV_HFC_ELC_CHP</v>
          </cell>
          <cell r="H642">
            <v>4.2754569053569545E-4</v>
          </cell>
          <cell r="I642">
            <v>5.0743764832851903E-4</v>
          </cell>
          <cell r="J642">
            <v>3.1616929270075533E-4</v>
          </cell>
        </row>
        <row r="643">
          <cell r="B643" t="str">
            <v>SCOM-CHPHFC</v>
          </cell>
          <cell r="C643" t="str">
            <v>VAR_fout</v>
          </cell>
          <cell r="D643" t="str">
            <v>SCOM_LTH_CHPHFC</v>
          </cell>
          <cell r="H643">
            <v>3.2178438814002314E-4</v>
          </cell>
          <cell r="I643">
            <v>3.19328704308372E-4</v>
          </cell>
          <cell r="J643">
            <v>1.7849518777038735E-4</v>
          </cell>
        </row>
        <row r="644">
          <cell r="B644" t="str">
            <v>SCOM-CHPHFC</v>
          </cell>
          <cell r="C644" t="str">
            <v>VAR_fin</v>
          </cell>
          <cell r="D644" t="str">
            <v>RSH2</v>
          </cell>
          <cell r="H644">
            <v>9.0009619060146448E-4</v>
          </cell>
          <cell r="I644">
            <v>9.4007878095962759E-4</v>
          </cell>
          <cell r="J644">
            <v>5.5009866665752406E-4</v>
          </cell>
        </row>
        <row r="645">
          <cell r="B645" t="str">
            <v>SCOM-CHPHFC</v>
          </cell>
          <cell r="C645" t="str">
            <v>VAR_ncap</v>
          </cell>
          <cell r="D645" t="str">
            <v>-</v>
          </cell>
          <cell r="H645">
            <v>2.53575570270958E-5</v>
          </cell>
          <cell r="I645">
            <v>1.29605145393946E-5</v>
          </cell>
          <cell r="J645">
            <v>1.8756527338758399E-5</v>
          </cell>
        </row>
        <row r="646">
          <cell r="B646" t="str">
            <v>SCOM-CHPHFC</v>
          </cell>
          <cell r="C646" t="str">
            <v>VAR_cap</v>
          </cell>
          <cell r="D646" t="str">
            <v>-</v>
          </cell>
          <cell r="H646">
            <v>2.53575570270958E-5</v>
          </cell>
          <cell r="I646">
            <v>3.789329234479106E-5</v>
          </cell>
          <cell r="J646">
            <v>3.1368842811686708E-5</v>
          </cell>
        </row>
        <row r="647">
          <cell r="B647" t="str">
            <v>RHES-EBAT</v>
          </cell>
          <cell r="C647" t="str">
            <v>VAR_fout</v>
          </cell>
          <cell r="D647" t="str">
            <v>RHES_ELC</v>
          </cell>
          <cell r="E647">
            <v>5.0013621923424608E-4</v>
          </cell>
          <cell r="F647">
            <v>4.9884612965406597E-4</v>
          </cell>
          <cell r="G647">
            <v>5.0332215971533607E-4</v>
          </cell>
          <cell r="H647">
            <v>4.3845202094653216E-2</v>
          </cell>
          <cell r="I647">
            <v>2.2961633296404174E-2</v>
          </cell>
          <cell r="J647">
            <v>0.11424605512120264</v>
          </cell>
        </row>
        <row r="648">
          <cell r="B648" t="str">
            <v>RHES-EBAT</v>
          </cell>
          <cell r="C648" t="str">
            <v>VAR_fout</v>
          </cell>
          <cell r="D648" t="str">
            <v>AUX_RHES-EBAT_OUT</v>
          </cell>
          <cell r="E648">
            <v>5.0013621923424652E-4</v>
          </cell>
          <cell r="F648">
            <v>4.9884612965406662E-4</v>
          </cell>
          <cell r="G648">
            <v>5.033221597153365E-4</v>
          </cell>
          <cell r="H648">
            <v>4.3845202094653257E-2</v>
          </cell>
          <cell r="I648">
            <v>2.2961633296404202E-2</v>
          </cell>
          <cell r="J648">
            <v>0.11424605512120267</v>
          </cell>
        </row>
        <row r="649">
          <cell r="B649" t="str">
            <v>RHES-EBAT</v>
          </cell>
          <cell r="C649" t="str">
            <v>VAR_fin</v>
          </cell>
          <cell r="D649" t="str">
            <v>RHES_ELC</v>
          </cell>
          <cell r="E649">
            <v>5.5483217763826326E-4</v>
          </cell>
          <cell r="F649">
            <v>5.5348503668973897E-4</v>
          </cell>
          <cell r="G649">
            <v>5.5681200652497875E-4</v>
          </cell>
          <cell r="H649">
            <v>4.8487072305120185E-2</v>
          </cell>
          <cell r="I649">
            <v>2.5392724822904288E-2</v>
          </cell>
          <cell r="J649">
            <v>0.12634089553342029</v>
          </cell>
        </row>
        <row r="650">
          <cell r="B650" t="str">
            <v>RHES-EBAT</v>
          </cell>
          <cell r="C650" t="str">
            <v>VAR_fin</v>
          </cell>
          <cell r="D650" t="str">
            <v>AUX_RHES-EBAT_IN</v>
          </cell>
          <cell r="E650">
            <v>5.5483217763826326E-4</v>
          </cell>
          <cell r="F650">
            <v>5.5348503668973897E-4</v>
          </cell>
          <cell r="G650">
            <v>5.5681200652497875E-4</v>
          </cell>
          <cell r="H650">
            <v>4.8487072305120185E-2</v>
          </cell>
          <cell r="I650">
            <v>2.5392724822904288E-2</v>
          </cell>
          <cell r="J650">
            <v>0.12634089553342029</v>
          </cell>
        </row>
        <row r="651">
          <cell r="B651" t="str">
            <v>RHES-EBAT</v>
          </cell>
          <cell r="C651" t="str">
            <v>VAR_ncap</v>
          </cell>
          <cell r="D651" t="str">
            <v>-</v>
          </cell>
          <cell r="E651">
            <v>2.0173080101988701E-4</v>
          </cell>
          <cell r="F651">
            <v>3.3294328708301799E-7</v>
          </cell>
          <cell r="G651">
            <v>1.5975119230306E-6</v>
          </cell>
          <cell r="H651">
            <v>2.4463899516238102E-2</v>
          </cell>
          <cell r="I651">
            <v>7.5155850205444498E-3</v>
          </cell>
          <cell r="J651">
            <v>5.3690467155074098E-2</v>
          </cell>
        </row>
        <row r="652">
          <cell r="B652" t="str">
            <v>RHES-EBAT</v>
          </cell>
          <cell r="C652" t="str">
            <v>VAR_cap</v>
          </cell>
          <cell r="D652" t="str">
            <v>-</v>
          </cell>
          <cell r="E652">
            <v>2.0446468171794383E-4</v>
          </cell>
          <cell r="F652">
            <v>2.0467460496320132E-4</v>
          </cell>
          <cell r="G652">
            <v>2.0609135965614893E-4</v>
          </cell>
          <cell r="H652">
            <v>2.4612996275552943E-2</v>
          </cell>
          <cell r="I652">
            <v>1.401399273819842E-2</v>
          </cell>
          <cell r="J652">
            <v>5.7839471942585624E-2</v>
          </cell>
        </row>
        <row r="653">
          <cell r="B653" t="str">
            <v>D-INGA</v>
          </cell>
          <cell r="C653" t="str">
            <v>VAR_fout</v>
          </cell>
          <cell r="D653" t="str">
            <v>CO2</v>
          </cell>
          <cell r="E653">
            <v>2101.49102029609</v>
          </cell>
          <cell r="F653">
            <v>1805.3934043721799</v>
          </cell>
          <cell r="G653">
            <v>1813.56144452694</v>
          </cell>
          <cell r="H653">
            <v>1647.6300411707</v>
          </cell>
          <cell r="I653">
            <v>736.94999161928104</v>
          </cell>
          <cell r="J653">
            <v>121.885506347225</v>
          </cell>
        </row>
        <row r="654">
          <cell r="B654" t="str">
            <v>D-INGA</v>
          </cell>
          <cell r="C654" t="str">
            <v>VAR_fout</v>
          </cell>
          <cell r="D654" t="str">
            <v>INGA</v>
          </cell>
          <cell r="E654">
            <v>37.469639230478691</v>
          </cell>
          <cell r="F654">
            <v>31.90861428794318</v>
          </cell>
          <cell r="G654">
            <v>32.851504872634116</v>
          </cell>
          <cell r="H654">
            <v>31.607660770303184</v>
          </cell>
          <cell r="I654">
            <v>15.896786305771029</v>
          </cell>
          <cell r="J654">
            <v>8.2529876308478016</v>
          </cell>
        </row>
        <row r="655">
          <cell r="B655" t="str">
            <v>D-INGA</v>
          </cell>
          <cell r="C655" t="str">
            <v>VAR_fin</v>
          </cell>
          <cell r="D655" t="str">
            <v>NGA</v>
          </cell>
          <cell r="E655">
            <v>37.26047908326408</v>
          </cell>
          <cell r="F655">
            <v>32.010521354116626</v>
          </cell>
          <cell r="G655">
            <v>32.155344761115892</v>
          </cell>
          <cell r="H655">
            <v>29.213298602317437</v>
          </cell>
          <cell r="I655">
            <v>13.066489213107822</v>
          </cell>
          <cell r="J655">
            <v>2.1610905380713699</v>
          </cell>
        </row>
        <row r="656">
          <cell r="B656" t="str">
            <v>D-INGA</v>
          </cell>
          <cell r="C656" t="str">
            <v>VAR_fin</v>
          </cell>
          <cell r="D656" t="str">
            <v>BNGA</v>
          </cell>
          <cell r="E656">
            <v>0.32886139065797426</v>
          </cell>
          <cell r="F656">
            <v>3.2009657676469875E-5</v>
          </cell>
          <cell r="G656">
            <v>0.78156570329213249</v>
          </cell>
          <cell r="H656">
            <v>2.4460962361543221</v>
          </cell>
          <cell r="I656">
            <v>2.79683106251461</v>
          </cell>
          <cell r="J656">
            <v>6.0560447717559027</v>
          </cell>
        </row>
        <row r="657">
          <cell r="B657" t="str">
            <v>D-INGA</v>
          </cell>
          <cell r="C657" t="str">
            <v>VAR_fin</v>
          </cell>
          <cell r="D657" t="str">
            <v>H2</v>
          </cell>
          <cell r="G657">
            <v>1.9542469189548529E-2</v>
          </cell>
          <cell r="H657">
            <v>4.924683274785923E-2</v>
          </cell>
          <cell r="I657">
            <v>8.426850897329681E-2</v>
          </cell>
          <cell r="J657">
            <v>6.2227352555601696E-2</v>
          </cell>
        </row>
        <row r="658">
          <cell r="B658" t="str">
            <v>D-INGA</v>
          </cell>
          <cell r="C658" t="str">
            <v>VAR_ncap</v>
          </cell>
          <cell r="D658" t="str">
            <v>-</v>
          </cell>
          <cell r="E658">
            <v>1.8719284606590401E-7</v>
          </cell>
          <cell r="F658">
            <v>1.5036075920569801E-7</v>
          </cell>
          <cell r="G658">
            <v>1.9443756542539699E-7</v>
          </cell>
          <cell r="H658">
            <v>2.4632426439773899E-7</v>
          </cell>
          <cell r="I658">
            <v>5.9773593077309704E-7</v>
          </cell>
          <cell r="J658">
            <v>1.77253446902829E-6</v>
          </cell>
        </row>
        <row r="659">
          <cell r="B659" t="str">
            <v>D-INGA</v>
          </cell>
          <cell r="C659" t="str">
            <v>VAR_cap</v>
          </cell>
          <cell r="D659" t="str">
            <v>-</v>
          </cell>
          <cell r="E659">
            <v>1.9844835574589461</v>
          </cell>
          <cell r="F659">
            <v>1.9844837078197053</v>
          </cell>
          <cell r="G659">
            <v>1.9844839022572707</v>
          </cell>
          <cell r="H659">
            <v>1.984484148581535</v>
          </cell>
          <cell r="I659">
            <v>1.9844851562579369</v>
          </cell>
          <cell r="J659">
            <v>1.0954629959722257</v>
          </cell>
        </row>
        <row r="660">
          <cell r="B660" t="str">
            <v>EWIND</v>
          </cell>
          <cell r="C660" t="str">
            <v>VAR_fout</v>
          </cell>
          <cell r="D660" t="str">
            <v>ELC35</v>
          </cell>
          <cell r="E660">
            <v>0.52400000000000047</v>
          </cell>
          <cell r="F660">
            <v>0.54529214003557536</v>
          </cell>
          <cell r="G660">
            <v>0.50317475832550185</v>
          </cell>
          <cell r="H660">
            <v>2.4898100987884928</v>
          </cell>
          <cell r="I660">
            <v>6.6692979971120971</v>
          </cell>
          <cell r="J660">
            <v>13.338572339756015</v>
          </cell>
        </row>
        <row r="661">
          <cell r="B661" t="str">
            <v>EWIND</v>
          </cell>
          <cell r="C661" t="str">
            <v>VAR_fin</v>
          </cell>
          <cell r="D661" t="str">
            <v>WND</v>
          </cell>
          <cell r="E661">
            <v>0.52400000000000047</v>
          </cell>
          <cell r="F661">
            <v>0.54529214003557536</v>
          </cell>
          <cell r="G661">
            <v>0.50317475832550185</v>
          </cell>
          <cell r="H661">
            <v>2.4898100987884928</v>
          </cell>
          <cell r="I661">
            <v>6.6692979971120971</v>
          </cell>
          <cell r="J661">
            <v>13.338572339756015</v>
          </cell>
        </row>
        <row r="662">
          <cell r="B662" t="str">
            <v>EWIND</v>
          </cell>
          <cell r="C662" t="str">
            <v>VAR_ncap</v>
          </cell>
          <cell r="D662" t="str">
            <v>-</v>
          </cell>
          <cell r="F662">
            <v>7.1321334135823998E-3</v>
          </cell>
          <cell r="G662">
            <v>1.6740556768429E-6</v>
          </cell>
          <cell r="H662">
            <v>0.35314682464271202</v>
          </cell>
          <cell r="I662">
            <v>0.42835222020876101</v>
          </cell>
          <cell r="J662">
            <v>1.4428658164028501</v>
          </cell>
        </row>
        <row r="663">
          <cell r="B663" t="str">
            <v>EWIND</v>
          </cell>
          <cell r="C663" t="str">
            <v>VAR_cap</v>
          </cell>
          <cell r="D663" t="str">
            <v>-</v>
          </cell>
          <cell r="E663">
            <v>8.7120000000000003E-2</v>
          </cell>
          <cell r="F663">
            <v>9.0660021450189601E-2</v>
          </cell>
          <cell r="G663">
            <v>8.3657612999795433E-2</v>
          </cell>
          <cell r="H663">
            <v>0.41395469282077829</v>
          </cell>
          <cell r="I663">
            <v>1.1088353293852369</v>
          </cell>
          <cell r="J663">
            <v>2.2176656434215598</v>
          </cell>
        </row>
        <row r="664">
          <cell r="B664" t="str">
            <v>EGEO</v>
          </cell>
          <cell r="C664" t="str">
            <v>VAR_fout</v>
          </cell>
          <cell r="D664" t="str">
            <v>ELC35</v>
          </cell>
          <cell r="I664">
            <v>5.0249131599624727E-3</v>
          </cell>
          <cell r="J664">
            <v>5.0324924636131977E-3</v>
          </cell>
        </row>
        <row r="665">
          <cell r="B665" t="str">
            <v>EGEO</v>
          </cell>
          <cell r="C665" t="str">
            <v>VAR_fin</v>
          </cell>
          <cell r="D665" t="str">
            <v>GEO</v>
          </cell>
          <cell r="I665">
            <v>3.3499421066416533E-2</v>
          </cell>
          <cell r="J665">
            <v>3.3549949757421323E-2</v>
          </cell>
        </row>
        <row r="666">
          <cell r="B666" t="str">
            <v>EGEO</v>
          </cell>
          <cell r="C666" t="str">
            <v>VAR_ncap</v>
          </cell>
          <cell r="D666" t="str">
            <v>-</v>
          </cell>
          <cell r="I666">
            <v>1.99449466818926E-4</v>
          </cell>
          <cell r="J666">
            <v>2.7878071827442599E-7</v>
          </cell>
        </row>
        <row r="667">
          <cell r="B667" t="str">
            <v>EGEO</v>
          </cell>
          <cell r="C667" t="str">
            <v>VAR_cap</v>
          </cell>
          <cell r="D667" t="str">
            <v>-</v>
          </cell>
          <cell r="I667">
            <v>1.99449466818926E-4</v>
          </cell>
          <cell r="J667">
            <v>1.9972824753720101E-4</v>
          </cell>
        </row>
        <row r="668">
          <cell r="B668" t="str">
            <v>D-SPLT</v>
          </cell>
          <cell r="C668" t="str">
            <v>VAR_fout</v>
          </cell>
          <cell r="D668" t="str">
            <v>SPLT</v>
          </cell>
          <cell r="E668">
            <v>2.0856342445062372</v>
          </cell>
          <cell r="F668">
            <v>2.4000914149439159</v>
          </cell>
          <cell r="G668">
            <v>0.64940774413807467</v>
          </cell>
          <cell r="H668">
            <v>1.2835139123502017</v>
          </cell>
          <cell r="I668">
            <v>2.2080386990974121</v>
          </cell>
          <cell r="J668">
            <v>2.9279494033598921</v>
          </cell>
        </row>
        <row r="669">
          <cell r="B669" t="str">
            <v>D-SPLT</v>
          </cell>
          <cell r="C669" t="str">
            <v>VAR_fin</v>
          </cell>
          <cell r="D669" t="str">
            <v>PLT</v>
          </cell>
          <cell r="E669">
            <v>2.0856342445062372</v>
          </cell>
          <cell r="F669">
            <v>2.4000914149439159</v>
          </cell>
          <cell r="G669">
            <v>0.64940774413807467</v>
          </cell>
          <cell r="H669">
            <v>1.2835139123502017</v>
          </cell>
          <cell r="I669">
            <v>2.2080386990974121</v>
          </cell>
          <cell r="J669">
            <v>2.9279494033598921</v>
          </cell>
        </row>
        <row r="670">
          <cell r="B670" t="str">
            <v>RHES-ESOLPV</v>
          </cell>
          <cell r="C670" t="str">
            <v>VAR_fout</v>
          </cell>
          <cell r="D670" t="str">
            <v>RHES_SOL_ELC</v>
          </cell>
          <cell r="E670">
            <v>2.1349390887346629</v>
          </cell>
          <cell r="F670">
            <v>3.3906652125216228</v>
          </cell>
          <cell r="G670">
            <v>8.0462514290645828</v>
          </cell>
          <cell r="H670">
            <v>8.7776955256944582</v>
          </cell>
          <cell r="I670">
            <v>5.9817529193085841</v>
          </cell>
          <cell r="J670">
            <v>1.4529089960925695E-3</v>
          </cell>
        </row>
        <row r="671">
          <cell r="B671" t="str">
            <v>RHES-ESOLPV</v>
          </cell>
          <cell r="C671" t="str">
            <v>VAR_fin</v>
          </cell>
          <cell r="D671" t="str">
            <v>SOL</v>
          </cell>
          <cell r="E671">
            <v>2.1349390887346629</v>
          </cell>
          <cell r="F671">
            <v>3.3906652125216228</v>
          </cell>
          <cell r="G671">
            <v>8.0462514290645828</v>
          </cell>
          <cell r="H671">
            <v>8.7776955256944582</v>
          </cell>
          <cell r="I671">
            <v>5.9817529193085841</v>
          </cell>
          <cell r="J671">
            <v>1.4529089960925695E-3</v>
          </cell>
        </row>
        <row r="672">
          <cell r="B672" t="str">
            <v>RHES-ESOLPV</v>
          </cell>
          <cell r="C672" t="str">
            <v>VAR_fin</v>
          </cell>
          <cell r="D672" t="str">
            <v>SOLPVC</v>
          </cell>
          <cell r="E672">
            <v>2.1349390887346602</v>
          </cell>
          <cell r="F672">
            <v>3.3906652125216201</v>
          </cell>
          <cell r="G672">
            <v>8.0462514290645792</v>
          </cell>
          <cell r="H672">
            <v>8.77769552569446</v>
          </cell>
          <cell r="I672">
            <v>5.9817529193085903</v>
          </cell>
          <cell r="J672">
            <v>1.4529089960925699E-3</v>
          </cell>
        </row>
        <row r="673">
          <cell r="B673" t="str">
            <v>RHES-ESOLPV</v>
          </cell>
          <cell r="C673" t="str">
            <v>VAR_ncap</v>
          </cell>
          <cell r="D673" t="str">
            <v>-</v>
          </cell>
          <cell r="F673">
            <v>2.15021272877293E-8</v>
          </cell>
          <cell r="G673">
            <v>1.27808033704809</v>
          </cell>
          <cell r="H673">
            <v>7.4775044816128004E-8</v>
          </cell>
          <cell r="I673">
            <v>5.4594154696090803E-7</v>
          </cell>
          <cell r="J673">
            <v>4.1842522702897298E-4</v>
          </cell>
        </row>
        <row r="674">
          <cell r="B674" t="str">
            <v>RHES-ESOLPV</v>
          </cell>
          <cell r="C674" t="str">
            <v>VAR_cap</v>
          </cell>
          <cell r="D674" t="str">
            <v>-</v>
          </cell>
          <cell r="E674">
            <v>0.67885700000000004</v>
          </cell>
          <cell r="F674">
            <v>1.1558999391802771</v>
          </cell>
          <cell r="G674">
            <v>2.5672373585502104</v>
          </cell>
          <cell r="H674">
            <v>2.5303545983816402</v>
          </cell>
          <cell r="I674">
            <v>1.7243655529827921</v>
          </cell>
          <cell r="J674">
            <v>4.1922725694208999E-4</v>
          </cell>
        </row>
        <row r="675">
          <cell r="B675" t="str">
            <v>EHYD-DAM10</v>
          </cell>
          <cell r="C675" t="str">
            <v>VAR_fout</v>
          </cell>
          <cell r="D675" t="str">
            <v>ELC</v>
          </cell>
          <cell r="F675">
            <v>7.0091183260142806E-3</v>
          </cell>
          <cell r="G675">
            <v>3.0843346121390783E-2</v>
          </cell>
          <cell r="H675">
            <v>0.70647626132283026</v>
          </cell>
          <cell r="I675">
            <v>0.71941497979357116</v>
          </cell>
          <cell r="J675">
            <v>0.67462642021807728</v>
          </cell>
        </row>
        <row r="676">
          <cell r="B676" t="str">
            <v>EHYD-DAM10</v>
          </cell>
          <cell r="C676" t="str">
            <v>VAR_fin</v>
          </cell>
          <cell r="D676" t="str">
            <v>HYDD</v>
          </cell>
          <cell r="F676">
            <v>7.0091183260142806E-3</v>
          </cell>
          <cell r="G676">
            <v>3.0843346121390783E-2</v>
          </cell>
          <cell r="H676">
            <v>0.70647626132283026</v>
          </cell>
          <cell r="I676">
            <v>0.71941497979357116</v>
          </cell>
          <cell r="J676">
            <v>0.67462642021807728</v>
          </cell>
        </row>
        <row r="677">
          <cell r="B677" t="str">
            <v>EHYD-DAM10</v>
          </cell>
          <cell r="C677" t="str">
            <v>VAR_ncap</v>
          </cell>
          <cell r="D677" t="str">
            <v>-</v>
          </cell>
          <cell r="F677">
            <v>9.1619473490354997E-4</v>
          </cell>
          <cell r="G677">
            <v>2.3954391338703801E-3</v>
          </cell>
          <cell r="H677">
            <v>7.19880826701048E-2</v>
          </cell>
          <cell r="I677">
            <v>3.1609743952421599E-7</v>
          </cell>
          <cell r="J677">
            <v>6.8150746219008499E-8</v>
          </cell>
        </row>
        <row r="678">
          <cell r="B678" t="str">
            <v>EHYD-DAM10</v>
          </cell>
          <cell r="C678" t="str">
            <v>VAR_cap</v>
          </cell>
          <cell r="D678" t="str">
            <v>-</v>
          </cell>
          <cell r="F678">
            <v>9.1619473490354997E-4</v>
          </cell>
          <cell r="G678">
            <v>3.31163386877393E-3</v>
          </cell>
          <cell r="H678">
            <v>7.5299716538878694E-2</v>
          </cell>
          <cell r="I678">
            <v>7.53008255604352E-2</v>
          </cell>
          <cell r="J678">
            <v>7.5300893711181399E-2</v>
          </cell>
        </row>
        <row r="679">
          <cell r="B679" t="str">
            <v>DH-EBAT</v>
          </cell>
          <cell r="C679" t="str">
            <v>VAR_fout</v>
          </cell>
          <cell r="D679" t="str">
            <v>ELC35</v>
          </cell>
          <cell r="E679">
            <v>1.4579371636791591E-3</v>
          </cell>
          <cell r="F679">
            <v>1.1513930411379855E-3</v>
          </cell>
          <cell r="G679">
            <v>1.4756982583846257E-3</v>
          </cell>
          <cell r="H679">
            <v>1.4200626455369897E-3</v>
          </cell>
          <cell r="I679">
            <v>3.3730887247353765E-3</v>
          </cell>
          <cell r="J679">
            <v>4.7041308196371187E-2</v>
          </cell>
        </row>
        <row r="680">
          <cell r="B680" t="str">
            <v>DH-EBAT</v>
          </cell>
          <cell r="C680" t="str">
            <v>VAR_fout</v>
          </cell>
          <cell r="D680" t="str">
            <v>AUX_DH-EBAT_OUT</v>
          </cell>
          <cell r="E680">
            <v>1.4579371636791586E-3</v>
          </cell>
          <cell r="F680">
            <v>1.1513930411379855E-3</v>
          </cell>
          <cell r="G680">
            <v>1.475698258384625E-3</v>
          </cell>
          <cell r="H680">
            <v>1.4200626455369895E-3</v>
          </cell>
          <cell r="I680">
            <v>3.3730887247353752E-3</v>
          </cell>
          <cell r="J680">
            <v>4.704130819637118E-2</v>
          </cell>
        </row>
        <row r="681">
          <cell r="B681" t="str">
            <v>DH-EBAT</v>
          </cell>
          <cell r="C681" t="str">
            <v>VAR_fin</v>
          </cell>
          <cell r="D681" t="str">
            <v>ELC35</v>
          </cell>
          <cell r="E681">
            <v>1.6305727844653792E-3</v>
          </cell>
          <cell r="F681">
            <v>1.2880024545846506E-3</v>
          </cell>
          <cell r="G681">
            <v>1.6507224944703916E-3</v>
          </cell>
          <cell r="H681">
            <v>1.5881520452541908E-3</v>
          </cell>
          <cell r="I681">
            <v>3.772826528100238E-3</v>
          </cell>
          <cell r="J681">
            <v>5.2604042316424293E-2</v>
          </cell>
        </row>
        <row r="682">
          <cell r="B682" t="str">
            <v>DH-EBAT</v>
          </cell>
          <cell r="C682" t="str">
            <v>VAR_fin</v>
          </cell>
          <cell r="D682" t="str">
            <v>AUX_DH-EBAT_IN</v>
          </cell>
          <cell r="E682">
            <v>1.6305727844653792E-3</v>
          </cell>
          <cell r="F682">
            <v>1.2880024545846506E-3</v>
          </cell>
          <cell r="G682">
            <v>1.6507224944703916E-3</v>
          </cell>
          <cell r="H682">
            <v>1.5881520452541908E-3</v>
          </cell>
          <cell r="I682">
            <v>3.772826528100238E-3</v>
          </cell>
          <cell r="J682">
            <v>5.2604042316424293E-2</v>
          </cell>
        </row>
        <row r="683">
          <cell r="B683" t="str">
            <v>DH-EBAT</v>
          </cell>
          <cell r="C683" t="str">
            <v>VAR_ncap</v>
          </cell>
          <cell r="D683" t="str">
            <v>-</v>
          </cell>
          <cell r="E683">
            <v>2.0209424835346599E-4</v>
          </cell>
          <cell r="F683">
            <v>2.9629045637348999E-7</v>
          </cell>
          <cell r="G683">
            <v>2.4655213540659802E-6</v>
          </cell>
          <cell r="H683">
            <v>4.5494872274178297E-5</v>
          </cell>
          <cell r="I683">
            <v>2.6406434413621703E-4</v>
          </cell>
          <cell r="J683">
            <v>1.5656005684226201E-2</v>
          </cell>
        </row>
        <row r="684">
          <cell r="B684" t="str">
            <v>DH-EBAT</v>
          </cell>
          <cell r="C684" t="str">
            <v>VAR_cap</v>
          </cell>
          <cell r="D684" t="str">
            <v>-</v>
          </cell>
          <cell r="E684">
            <v>2.0209424835346599E-4</v>
          </cell>
          <cell r="F684">
            <v>2.022987522211598E-4</v>
          </cell>
          <cell r="G684">
            <v>2.0468991577880766E-4</v>
          </cell>
          <cell r="H684">
            <v>1.9579743417280144E-4</v>
          </cell>
          <cell r="I684">
            <v>4.6551977530920292E-4</v>
          </cell>
          <cell r="J684">
            <v>1.5822216562926351E-2</v>
          </cell>
        </row>
        <row r="685">
          <cell r="B685" t="str">
            <v>RHEM-EBAT</v>
          </cell>
          <cell r="C685" t="str">
            <v>VAR_fout</v>
          </cell>
          <cell r="D685" t="str">
            <v>RHEM_ELC</v>
          </cell>
          <cell r="E685">
            <v>5.0016723416722623E-4</v>
          </cell>
          <cell r="F685">
            <v>4.9887595776644577E-4</v>
          </cell>
          <cell r="G685">
            <v>5.0387327441669223E-4</v>
          </cell>
          <cell r="H685">
            <v>4.5232405354289365E-2</v>
          </cell>
          <cell r="I685">
            <v>7.0593285545513945E-2</v>
          </cell>
          <cell r="J685">
            <v>0.11510106172627962</v>
          </cell>
        </row>
        <row r="686">
          <cell r="B686" t="str">
            <v>RHEM-EBAT</v>
          </cell>
          <cell r="C686" t="str">
            <v>VAR_fout</v>
          </cell>
          <cell r="D686" t="str">
            <v>AUX_RHEM-EBAT_OUT</v>
          </cell>
          <cell r="E686">
            <v>5.0016723416722677E-4</v>
          </cell>
          <cell r="F686">
            <v>4.988759577664462E-4</v>
          </cell>
          <cell r="G686">
            <v>5.0387327441669266E-4</v>
          </cell>
          <cell r="H686">
            <v>4.5232405354289407E-2</v>
          </cell>
          <cell r="I686">
            <v>7.0593285545513987E-2</v>
          </cell>
          <cell r="J686">
            <v>0.1151010617262798</v>
          </cell>
        </row>
        <row r="687">
          <cell r="B687" t="str">
            <v>RHEM-EBAT</v>
          </cell>
          <cell r="C687" t="str">
            <v>VAR_fin</v>
          </cell>
          <cell r="D687" t="str">
            <v>RHEM_ELC</v>
          </cell>
          <cell r="E687">
            <v>5.5486647596083845E-4</v>
          </cell>
          <cell r="F687">
            <v>5.5351859215269225E-4</v>
          </cell>
          <cell r="G687">
            <v>5.5737175618740217E-4</v>
          </cell>
          <cell r="H687">
            <v>5.0021128960441079E-2</v>
          </cell>
          <cell r="I687">
            <v>7.8066886364723378E-2</v>
          </cell>
          <cell r="J687">
            <v>0.12728641379003419</v>
          </cell>
        </row>
        <row r="688">
          <cell r="B688" t="str">
            <v>RHEM-EBAT</v>
          </cell>
          <cell r="C688" t="str">
            <v>VAR_fin</v>
          </cell>
          <cell r="D688" t="str">
            <v>AUX_RHEM-EBAT_IN</v>
          </cell>
          <cell r="E688">
            <v>5.5486647596083845E-4</v>
          </cell>
          <cell r="F688">
            <v>5.5351859215269225E-4</v>
          </cell>
          <cell r="G688">
            <v>5.5737175618740217E-4</v>
          </cell>
          <cell r="H688">
            <v>5.0021128960441079E-2</v>
          </cell>
          <cell r="I688">
            <v>7.8066886364723378E-2</v>
          </cell>
          <cell r="J688">
            <v>0.12728641379003419</v>
          </cell>
        </row>
        <row r="689">
          <cell r="B689" t="str">
            <v>RHEM-EBAT</v>
          </cell>
          <cell r="C689" t="str">
            <v>VAR_ncap</v>
          </cell>
          <cell r="D689" t="str">
            <v>-</v>
          </cell>
          <cell r="E689">
            <v>2.01743090656909E-4</v>
          </cell>
          <cell r="F689">
            <v>3.32843850063755E-7</v>
          </cell>
          <cell r="G689">
            <v>1.60344093855186E-6</v>
          </cell>
          <cell r="H689">
            <v>2.53659045472708E-2</v>
          </cell>
          <cell r="I689">
            <v>4.9357054625876903E-2</v>
          </cell>
          <cell r="J689">
            <v>3.32385235705372E-2</v>
          </cell>
        </row>
        <row r="690">
          <cell r="B690" t="str">
            <v>RHEM-EBAT</v>
          </cell>
          <cell r="C690" t="str">
            <v>VAR_cap</v>
          </cell>
          <cell r="D690" t="str">
            <v>-</v>
          </cell>
          <cell r="E690">
            <v>2.044769702780802E-4</v>
          </cell>
          <cell r="F690">
            <v>2.04686847981922E-4</v>
          </cell>
          <cell r="G690">
            <v>2.0610921184682735E-4</v>
          </cell>
          <cell r="H690">
            <v>2.5515015994094416E-2</v>
          </cell>
          <cell r="I690">
            <v>5.5570060334888524E-2</v>
          </cell>
          <cell r="J690">
            <v>5.8293125348738074E-2</v>
          </cell>
        </row>
        <row r="691">
          <cell r="B691" t="str">
            <v>HPLGEO</v>
          </cell>
          <cell r="C691" t="str">
            <v>VAR_fout</v>
          </cell>
          <cell r="D691" t="str">
            <v>LTH</v>
          </cell>
          <cell r="I691">
            <v>3.7097225458447993E-5</v>
          </cell>
          <cell r="J691">
            <v>3.0025276760151741E-5</v>
          </cell>
        </row>
        <row r="692">
          <cell r="B692" t="str">
            <v>HPLGEO</v>
          </cell>
          <cell r="C692" t="str">
            <v>VAR_fin</v>
          </cell>
          <cell r="D692" t="str">
            <v>GEO</v>
          </cell>
          <cell r="I692">
            <v>4.3643794656997623E-5</v>
          </cell>
          <cell r="J692">
            <v>3.5323855011943245E-5</v>
          </cell>
        </row>
        <row r="693">
          <cell r="B693" t="str">
            <v>HPLGEO</v>
          </cell>
          <cell r="C693" t="str">
            <v>VAR_ncap</v>
          </cell>
          <cell r="D693" t="str">
            <v>-</v>
          </cell>
          <cell r="I693">
            <v>3.3707791762427701E-6</v>
          </cell>
          <cell r="J693">
            <v>3.8733712161770702E-8</v>
          </cell>
        </row>
        <row r="694">
          <cell r="B694" t="str">
            <v>HPLGEO</v>
          </cell>
          <cell r="C694" t="str">
            <v>VAR_cap</v>
          </cell>
          <cell r="D694" t="str">
            <v>-</v>
          </cell>
          <cell r="I694">
            <v>3.3707791762427701E-6</v>
          </cell>
          <cell r="J694">
            <v>3.4095128884045398E-6</v>
          </cell>
        </row>
        <row r="695">
          <cell r="B695" t="str">
            <v>EHYD-PUM15</v>
          </cell>
          <cell r="C695" t="str">
            <v>VAR_fout</v>
          </cell>
          <cell r="D695" t="str">
            <v>ELC</v>
          </cell>
          <cell r="F695">
            <v>1.032885351201342E-3</v>
          </cell>
          <cell r="G695">
            <v>1.8764658994586555E-3</v>
          </cell>
          <cell r="H695">
            <v>1.7371006778622293E-3</v>
          </cell>
          <cell r="I695">
            <v>1.4559300734895626E-3</v>
          </cell>
          <cell r="J695">
            <v>1.367399581641472E-3</v>
          </cell>
        </row>
        <row r="696">
          <cell r="B696" t="str">
            <v>EHYD-PUM15</v>
          </cell>
          <cell r="C696" t="str">
            <v>VAR_fout</v>
          </cell>
          <cell r="D696" t="str">
            <v>AUX_PUMP_OUT</v>
          </cell>
          <cell r="F696">
            <v>1.032885351201342E-3</v>
          </cell>
          <cell r="G696">
            <v>1.8764658994586555E-3</v>
          </cell>
          <cell r="H696">
            <v>1.7371006778622293E-3</v>
          </cell>
          <cell r="I696">
            <v>1.4559300734895626E-3</v>
          </cell>
          <cell r="J696">
            <v>1.367399581641472E-3</v>
          </cell>
        </row>
        <row r="697">
          <cell r="B697" t="str">
            <v>EHYD-PUM15</v>
          </cell>
          <cell r="C697" t="str">
            <v>VAR_fin</v>
          </cell>
          <cell r="D697" t="str">
            <v>AUX_PUMP_IN</v>
          </cell>
          <cell r="F697">
            <v>1.2921565943873805E-3</v>
          </cell>
          <cell r="G697">
            <v>2.3459279662495711E-3</v>
          </cell>
          <cell r="H697">
            <v>2.1709813606264798E-3</v>
          </cell>
          <cell r="I697">
            <v>1.8175647565039656E-3</v>
          </cell>
          <cell r="J697">
            <v>1.7073795059525849E-3</v>
          </cell>
        </row>
        <row r="698">
          <cell r="B698" t="str">
            <v>EHYD-PUM15</v>
          </cell>
          <cell r="C698" t="str">
            <v>VAR_fin</v>
          </cell>
          <cell r="D698" t="str">
            <v>ELC</v>
          </cell>
          <cell r="F698">
            <v>1.2921565943873805E-3</v>
          </cell>
          <cell r="G698">
            <v>2.3459279662495711E-3</v>
          </cell>
          <cell r="H698">
            <v>2.1709813606264798E-3</v>
          </cell>
          <cell r="I698">
            <v>1.8175647565039656E-3</v>
          </cell>
          <cell r="J698">
            <v>1.7073795059525849E-3</v>
          </cell>
        </row>
        <row r="699">
          <cell r="B699" t="str">
            <v>EHYD-PUM15</v>
          </cell>
          <cell r="C699" t="str">
            <v>VAR_ncap</v>
          </cell>
          <cell r="D699" t="str">
            <v>-</v>
          </cell>
          <cell r="F699">
            <v>1.4772160631835001E-4</v>
          </cell>
          <cell r="G699">
            <v>3.5891133941533802E-7</v>
          </cell>
          <cell r="H699">
            <v>1.2875250487146801E-7</v>
          </cell>
          <cell r="I699">
            <v>2.5607966295152398E-7</v>
          </cell>
          <cell r="J699">
            <v>1.6174650666470199E-7</v>
          </cell>
        </row>
        <row r="700">
          <cell r="B700" t="str">
            <v>EHYD-PUM15</v>
          </cell>
          <cell r="C700" t="str">
            <v>VAR_cap</v>
          </cell>
          <cell r="D700" t="str">
            <v>-</v>
          </cell>
          <cell r="F700">
            <v>1.4772160631835001E-4</v>
          </cell>
          <cell r="G700">
            <v>1.4808051765776499E-4</v>
          </cell>
          <cell r="H700">
            <v>1.48209270162636E-4</v>
          </cell>
          <cell r="I700">
            <v>1.4932004213931999E-4</v>
          </cell>
          <cell r="J700">
            <v>1.49481788645985E-4</v>
          </cell>
        </row>
        <row r="701">
          <cell r="B701" t="str">
            <v>D-EWST</v>
          </cell>
          <cell r="C701" t="str">
            <v>VAR_fout</v>
          </cell>
          <cell r="D701" t="str">
            <v>CO2</v>
          </cell>
          <cell r="E701">
            <v>2236.6438047817101</v>
          </cell>
          <cell r="F701">
            <v>2235.4032359528601</v>
          </cell>
          <cell r="G701">
            <v>2268.7818866576799</v>
          </cell>
          <cell r="H701">
            <v>2238.51086909983</v>
          </cell>
          <cell r="I701">
            <v>2266.0985273537399</v>
          </cell>
          <cell r="J701">
            <v>2317.38957627032</v>
          </cell>
        </row>
        <row r="702">
          <cell r="B702" t="str">
            <v>D-EWST</v>
          </cell>
          <cell r="C702" t="str">
            <v>VAR_fout</v>
          </cell>
          <cell r="D702" t="str">
            <v>EWST</v>
          </cell>
          <cell r="E702">
            <v>48.20353027546787</v>
          </cell>
          <cell r="F702">
            <v>48.176795506455079</v>
          </cell>
          <cell r="G702">
            <v>48.896169029385284</v>
          </cell>
          <cell r="H702">
            <v>48.24376927170227</v>
          </cell>
          <cell r="I702">
            <v>48.838357416213562</v>
          </cell>
          <cell r="J702">
            <v>49.943751448065008</v>
          </cell>
        </row>
        <row r="703">
          <cell r="B703" t="str">
            <v>D-EWST</v>
          </cell>
          <cell r="C703" t="str">
            <v>VAR_fin</v>
          </cell>
          <cell r="D703" t="str">
            <v>WSTNREN</v>
          </cell>
          <cell r="E703">
            <v>24.101765137733945</v>
          </cell>
          <cell r="F703">
            <v>24.08839693914722</v>
          </cell>
          <cell r="G703">
            <v>24.448080675190575</v>
          </cell>
          <cell r="H703">
            <v>24.121884365299859</v>
          </cell>
          <cell r="I703">
            <v>24.419165165449801</v>
          </cell>
          <cell r="J703">
            <v>24.971870433947398</v>
          </cell>
        </row>
        <row r="704">
          <cell r="B704" t="str">
            <v>D-EWST</v>
          </cell>
          <cell r="C704" t="str">
            <v>VAR_fin</v>
          </cell>
          <cell r="D704" t="str">
            <v>WSTREN</v>
          </cell>
          <cell r="E704">
            <v>24.101765137733945</v>
          </cell>
          <cell r="F704">
            <v>24.08839693914722</v>
          </cell>
          <cell r="G704">
            <v>24.448080675190575</v>
          </cell>
          <cell r="H704">
            <v>24.121884365299859</v>
          </cell>
          <cell r="I704">
            <v>24.419165165449801</v>
          </cell>
          <cell r="J704">
            <v>24.971870433947398</v>
          </cell>
        </row>
        <row r="705">
          <cell r="B705"/>
          <cell r="C705"/>
          <cell r="D705"/>
        </row>
        <row r="706">
          <cell r="B706"/>
          <cell r="C706"/>
          <cell r="D706"/>
        </row>
        <row r="707">
          <cell r="B707"/>
          <cell r="C707"/>
          <cell r="D707"/>
        </row>
        <row r="708">
          <cell r="B708"/>
          <cell r="C708"/>
          <cell r="D708"/>
        </row>
        <row r="709">
          <cell r="B709"/>
          <cell r="C709"/>
          <cell r="D709"/>
        </row>
        <row r="710">
          <cell r="B710"/>
          <cell r="C710"/>
          <cell r="D710"/>
        </row>
        <row r="711">
          <cell r="B711"/>
          <cell r="C711"/>
          <cell r="D711"/>
        </row>
        <row r="712">
          <cell r="B712"/>
          <cell r="C712"/>
          <cell r="D712"/>
        </row>
        <row r="713">
          <cell r="B713"/>
          <cell r="C713"/>
          <cell r="D713"/>
        </row>
        <row r="714">
          <cell r="B714"/>
          <cell r="C714"/>
          <cell r="D714"/>
        </row>
        <row r="715">
          <cell r="B715"/>
          <cell r="C715"/>
          <cell r="D715"/>
        </row>
        <row r="716">
          <cell r="B716"/>
          <cell r="C716"/>
          <cell r="D716"/>
        </row>
        <row r="717">
          <cell r="B717"/>
          <cell r="C717"/>
          <cell r="D717"/>
        </row>
        <row r="718">
          <cell r="B718"/>
          <cell r="C718"/>
          <cell r="D718"/>
        </row>
        <row r="719">
          <cell r="B719"/>
          <cell r="C719"/>
          <cell r="D719"/>
        </row>
        <row r="720">
          <cell r="B720"/>
          <cell r="C720"/>
          <cell r="D720"/>
        </row>
        <row r="721">
          <cell r="B721"/>
          <cell r="C721"/>
          <cell r="D721"/>
        </row>
        <row r="722">
          <cell r="B722"/>
          <cell r="C722"/>
          <cell r="D722"/>
        </row>
        <row r="723">
          <cell r="B723"/>
          <cell r="C723"/>
          <cell r="D723"/>
        </row>
        <row r="724">
          <cell r="B724"/>
          <cell r="C724"/>
          <cell r="D724"/>
        </row>
        <row r="725">
          <cell r="B725"/>
          <cell r="C725"/>
          <cell r="D725"/>
        </row>
        <row r="726">
          <cell r="B726"/>
          <cell r="C726"/>
          <cell r="D726"/>
        </row>
        <row r="727">
          <cell r="B727"/>
          <cell r="C727"/>
          <cell r="D727"/>
        </row>
        <row r="728">
          <cell r="B728"/>
          <cell r="C728"/>
          <cell r="D728"/>
        </row>
        <row r="729">
          <cell r="B729"/>
          <cell r="C729"/>
          <cell r="D729"/>
        </row>
        <row r="730">
          <cell r="B730"/>
          <cell r="C730"/>
          <cell r="D730"/>
        </row>
        <row r="731">
          <cell r="B731"/>
          <cell r="C731"/>
          <cell r="D731"/>
        </row>
        <row r="732">
          <cell r="B732"/>
          <cell r="C732"/>
          <cell r="D732"/>
        </row>
        <row r="733">
          <cell r="B733"/>
          <cell r="C733"/>
          <cell r="D733"/>
        </row>
        <row r="734">
          <cell r="B734"/>
          <cell r="C734"/>
          <cell r="D734"/>
        </row>
        <row r="735">
          <cell r="B735"/>
          <cell r="C735"/>
          <cell r="D735"/>
        </row>
        <row r="736">
          <cell r="B736"/>
          <cell r="C736"/>
          <cell r="D736"/>
        </row>
        <row r="737">
          <cell r="B737"/>
          <cell r="C737"/>
          <cell r="D737"/>
        </row>
        <row r="738">
          <cell r="B738"/>
          <cell r="C738"/>
          <cell r="D738"/>
        </row>
        <row r="739">
          <cell r="B739"/>
          <cell r="C739"/>
          <cell r="D739"/>
        </row>
        <row r="740">
          <cell r="B740"/>
          <cell r="C740"/>
          <cell r="D740"/>
        </row>
        <row r="741">
          <cell r="B741"/>
          <cell r="C741"/>
          <cell r="D741"/>
        </row>
        <row r="742">
          <cell r="B742"/>
          <cell r="C742"/>
          <cell r="D742"/>
        </row>
        <row r="743">
          <cell r="B743"/>
          <cell r="C743"/>
          <cell r="D743"/>
        </row>
        <row r="744">
          <cell r="B744"/>
          <cell r="C744"/>
          <cell r="D744"/>
        </row>
        <row r="745">
          <cell r="B745"/>
          <cell r="C745"/>
          <cell r="D745"/>
        </row>
        <row r="746">
          <cell r="B746"/>
          <cell r="C746"/>
          <cell r="D746"/>
        </row>
        <row r="747">
          <cell r="B747"/>
          <cell r="C747"/>
          <cell r="D747"/>
        </row>
        <row r="748">
          <cell r="B748"/>
          <cell r="C748"/>
          <cell r="D748"/>
        </row>
        <row r="749">
          <cell r="B749"/>
          <cell r="C749"/>
          <cell r="D749"/>
        </row>
        <row r="750">
          <cell r="B750"/>
          <cell r="C750"/>
          <cell r="D750"/>
        </row>
        <row r="751">
          <cell r="B751"/>
          <cell r="C751"/>
          <cell r="D751"/>
        </row>
        <row r="752">
          <cell r="B752"/>
          <cell r="C752"/>
          <cell r="D752"/>
        </row>
        <row r="753">
          <cell r="B753"/>
          <cell r="C753"/>
          <cell r="D753"/>
        </row>
        <row r="754">
          <cell r="B754"/>
          <cell r="C754"/>
          <cell r="D754"/>
        </row>
        <row r="755">
          <cell r="B755"/>
          <cell r="C755"/>
          <cell r="D755"/>
        </row>
        <row r="756">
          <cell r="B756"/>
          <cell r="C756"/>
          <cell r="D756"/>
        </row>
        <row r="757">
          <cell r="B757"/>
          <cell r="C757"/>
          <cell r="D757"/>
        </row>
        <row r="758">
          <cell r="B758"/>
          <cell r="C758"/>
          <cell r="D758"/>
        </row>
        <row r="759">
          <cell r="B759"/>
          <cell r="C759"/>
          <cell r="D759"/>
        </row>
        <row r="760">
          <cell r="B760"/>
          <cell r="C760"/>
          <cell r="D760"/>
        </row>
        <row r="761">
          <cell r="B761"/>
          <cell r="C761"/>
          <cell r="D761"/>
        </row>
        <row r="762">
          <cell r="B762"/>
          <cell r="C762"/>
          <cell r="D762"/>
        </row>
        <row r="763">
          <cell r="B763"/>
          <cell r="C763"/>
          <cell r="D763"/>
        </row>
        <row r="764">
          <cell r="B764"/>
          <cell r="C764"/>
          <cell r="D764"/>
        </row>
        <row r="765">
          <cell r="B765"/>
          <cell r="C765"/>
          <cell r="D765"/>
        </row>
        <row r="766">
          <cell r="B766"/>
          <cell r="C766"/>
          <cell r="D766"/>
        </row>
        <row r="767">
          <cell r="B767"/>
          <cell r="C767"/>
          <cell r="D767"/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/>
          <cell r="E3"/>
        </row>
        <row r="4">
          <cell r="A4"/>
          <cell r="B4"/>
          <cell r="C4"/>
        </row>
        <row r="5">
          <cell r="A5"/>
          <cell r="B5"/>
          <cell r="C5"/>
        </row>
        <row r="6">
          <cell r="A6"/>
          <cell r="B6"/>
          <cell r="C6"/>
        </row>
        <row r="7">
          <cell r="A7"/>
          <cell r="B7"/>
          <cell r="C7"/>
        </row>
        <row r="8">
          <cell r="A8"/>
          <cell r="B8"/>
          <cell r="C8"/>
        </row>
        <row r="9">
          <cell r="A9"/>
          <cell r="B9"/>
          <cell r="C9"/>
        </row>
        <row r="10">
          <cell r="A10"/>
          <cell r="B10"/>
          <cell r="C10"/>
        </row>
        <row r="11">
          <cell r="A11"/>
          <cell r="B11"/>
          <cell r="C11"/>
        </row>
        <row r="12">
          <cell r="A12"/>
          <cell r="B12"/>
          <cell r="C12"/>
        </row>
        <row r="13">
          <cell r="A13"/>
          <cell r="B13"/>
          <cell r="C13"/>
        </row>
        <row r="14">
          <cell r="A14"/>
          <cell r="B14"/>
          <cell r="C14"/>
        </row>
        <row r="15">
          <cell r="A15"/>
          <cell r="B15"/>
          <cell r="C15"/>
        </row>
        <row r="16">
          <cell r="A16"/>
          <cell r="B16"/>
          <cell r="C16"/>
        </row>
        <row r="17">
          <cell r="A17"/>
          <cell r="B17"/>
          <cell r="C17"/>
        </row>
        <row r="18">
          <cell r="A18"/>
          <cell r="B18"/>
          <cell r="C18"/>
        </row>
        <row r="19">
          <cell r="A19"/>
          <cell r="B19"/>
          <cell r="C19"/>
        </row>
        <row r="20">
          <cell r="A20"/>
          <cell r="B20"/>
          <cell r="C20"/>
        </row>
        <row r="21">
          <cell r="A21"/>
          <cell r="B21"/>
          <cell r="C21"/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0.71891384123643598</v>
          </cell>
          <cell r="F4">
            <v>8.1216916647015196E-4</v>
          </cell>
          <cell r="G4">
            <v>2.3958577970014427E-4</v>
          </cell>
          <cell r="H4">
            <v>9.477061127276857E-5</v>
          </cell>
          <cell r="I4">
            <v>3.5134394363187809E-5</v>
          </cell>
        </row>
        <row r="5">
          <cell r="A5" t="str">
            <v>EXPELC_DE</v>
          </cell>
          <cell r="C5" t="str">
            <v>ELC_E-DE</v>
          </cell>
          <cell r="D5">
            <v>26.492979441930757</v>
          </cell>
          <cell r="E5">
            <v>1.8114471804500109E-4</v>
          </cell>
          <cell r="F5">
            <v>2.119202051016119E-4</v>
          </cell>
          <cell r="G5">
            <v>1.5899081669198863E-4</v>
          </cell>
          <cell r="H5">
            <v>4.565126658987809E-4</v>
          </cell>
          <cell r="I5">
            <v>1.2946300689982559E-4</v>
          </cell>
        </row>
        <row r="6">
          <cell r="A6" t="str">
            <v>IMPDSL</v>
          </cell>
          <cell r="C6" t="str">
            <v>DSL</v>
          </cell>
          <cell r="D6">
            <v>119.01074159153833</v>
          </cell>
          <cell r="E6">
            <v>108.38380550476082</v>
          </cell>
          <cell r="F6">
            <v>87.578643016963113</v>
          </cell>
          <cell r="G6">
            <v>60.653524634368758</v>
          </cell>
          <cell r="H6">
            <v>51.532195812545851</v>
          </cell>
          <cell r="I6">
            <v>48.15018385667971</v>
          </cell>
        </row>
        <row r="7">
          <cell r="A7" t="str">
            <v>IMPH2</v>
          </cell>
          <cell r="C7" t="str">
            <v>H2</v>
          </cell>
          <cell r="H7">
            <v>0.22241212255204187</v>
          </cell>
          <cell r="I7">
            <v>0.22241399737269177</v>
          </cell>
        </row>
        <row r="8">
          <cell r="A8" t="str">
            <v>IMPELC_AT</v>
          </cell>
          <cell r="C8" t="str">
            <v>ELC_I-AT</v>
          </cell>
          <cell r="D8">
            <v>15.013805600359564</v>
          </cell>
          <cell r="E8">
            <v>0.20059819732123396</v>
          </cell>
          <cell r="F8">
            <v>0.10319990144630869</v>
          </cell>
          <cell r="G8">
            <v>0.12983956461177762</v>
          </cell>
          <cell r="H8">
            <v>5.3046430088950616E-2</v>
          </cell>
          <cell r="I8">
            <v>8.8338192960751877E-2</v>
          </cell>
        </row>
        <row r="9">
          <cell r="A9" t="str">
            <v>IMPELC_AT</v>
          </cell>
          <cell r="C9" t="str">
            <v>ELCS</v>
          </cell>
          <cell r="D9">
            <v>15.013805600359564</v>
          </cell>
          <cell r="E9">
            <v>0.20059819732123396</v>
          </cell>
          <cell r="F9">
            <v>0.10319990144630869</v>
          </cell>
          <cell r="G9">
            <v>0.12983956461177762</v>
          </cell>
          <cell r="H9">
            <v>5.3046430088950616E-2</v>
          </cell>
          <cell r="I9">
            <v>8.8338192960751877E-2</v>
          </cell>
        </row>
        <row r="10">
          <cell r="A10" t="str">
            <v>IMPELC_FR</v>
          </cell>
          <cell r="C10" t="str">
            <v>ELC_I-FR</v>
          </cell>
          <cell r="D10">
            <v>28.948621075058483</v>
          </cell>
          <cell r="E10">
            <v>14.181439136763565</v>
          </cell>
          <cell r="F10">
            <v>18.725854180318713</v>
          </cell>
          <cell r="G10">
            <v>12.483171710514094</v>
          </cell>
          <cell r="H10">
            <v>11.321775329329371</v>
          </cell>
          <cell r="I10">
            <v>10.389003328858351</v>
          </cell>
        </row>
        <row r="11">
          <cell r="A11" t="str">
            <v>IMPELC_FR</v>
          </cell>
          <cell r="C11" t="str">
            <v>ELCS</v>
          </cell>
          <cell r="D11">
            <v>28.948621075058483</v>
          </cell>
          <cell r="E11">
            <v>14.181439136763565</v>
          </cell>
          <cell r="F11">
            <v>18.725854180318713</v>
          </cell>
          <cell r="G11">
            <v>12.483171710514094</v>
          </cell>
          <cell r="H11">
            <v>11.321775329329371</v>
          </cell>
          <cell r="I11">
            <v>10.389003328858351</v>
          </cell>
        </row>
        <row r="12">
          <cell r="A12" t="str">
            <v>RNWHYDR1</v>
          </cell>
          <cell r="C12" t="str">
            <v>HYDR</v>
          </cell>
          <cell r="D12">
            <v>66.632400240500942</v>
          </cell>
          <cell r="E12">
            <v>55.76400258578564</v>
          </cell>
          <cell r="F12">
            <v>65.548525056349078</v>
          </cell>
          <cell r="G12">
            <v>64.464360078239594</v>
          </cell>
          <cell r="H12">
            <v>62.540333935611386</v>
          </cell>
          <cell r="I12">
            <v>66.134977866950621</v>
          </cell>
        </row>
        <row r="13">
          <cell r="A13" t="str">
            <v>EXPELC_IT</v>
          </cell>
          <cell r="C13" t="str">
            <v>ELC_E-IT</v>
          </cell>
          <cell r="D13">
            <v>71.694107738046725</v>
          </cell>
          <cell r="E13">
            <v>35.425525069208767</v>
          </cell>
          <cell r="F13">
            <v>54.795384897914182</v>
          </cell>
          <cell r="G13">
            <v>55.615952710311433</v>
          </cell>
          <cell r="H13">
            <v>23.788463745500234</v>
          </cell>
          <cell r="I13">
            <v>16.31789866474163</v>
          </cell>
        </row>
        <row r="14">
          <cell r="A14" t="str">
            <v>IMPLNG</v>
          </cell>
          <cell r="C14" t="str">
            <v>LBIO</v>
          </cell>
          <cell r="G14">
            <v>2.5019697847139191E-4</v>
          </cell>
          <cell r="H14">
            <v>3.6181263023566598E-2</v>
          </cell>
          <cell r="I14">
            <v>2.1353375336628133</v>
          </cell>
        </row>
        <row r="15">
          <cell r="A15" t="str">
            <v>IMPLNG</v>
          </cell>
          <cell r="C15" t="str">
            <v>LNGA</v>
          </cell>
          <cell r="G15">
            <v>4.5504057915017826E-4</v>
          </cell>
          <cell r="H15">
            <v>6.4854206148598471E-4</v>
          </cell>
          <cell r="I15">
            <v>3.5506695675961925E-4</v>
          </cell>
        </row>
        <row r="16">
          <cell r="A16" t="str">
            <v>IMPURN1</v>
          </cell>
          <cell r="C16" t="str">
            <v>URN</v>
          </cell>
          <cell r="D16">
            <v>250.94817287120787</v>
          </cell>
          <cell r="E16">
            <v>253.29982394302303</v>
          </cell>
          <cell r="F16">
            <v>215.8177884421992</v>
          </cell>
          <cell r="G16">
            <v>209.65777737863678</v>
          </cell>
          <cell r="H16">
            <v>98.94549837349372</v>
          </cell>
        </row>
        <row r="17">
          <cell r="A17" t="str">
            <v>EXPELC_AT</v>
          </cell>
          <cell r="C17" t="str">
            <v>ELC_E-AT</v>
          </cell>
          <cell r="D17">
            <v>6.2295555511042444</v>
          </cell>
          <cell r="E17">
            <v>2.8846889171064174E-4</v>
          </cell>
          <cell r="F17">
            <v>3.4845461346781045E-4</v>
          </cell>
          <cell r="G17">
            <v>6.7968442276893505E-5</v>
          </cell>
          <cell r="H17">
            <v>8.8924678924087716E-5</v>
          </cell>
          <cell r="I17">
            <v>5.2907038359206552E-5</v>
          </cell>
        </row>
        <row r="18">
          <cell r="A18" t="str">
            <v>EXPELC_FR</v>
          </cell>
          <cell r="C18" t="str">
            <v>ELC_E-FR</v>
          </cell>
          <cell r="D18">
            <v>12.753359201544781</v>
          </cell>
          <cell r="E18">
            <v>2.4799524607023432E-4</v>
          </cell>
          <cell r="F18">
            <v>2.461116361306078E-4</v>
          </cell>
          <cell r="G18">
            <v>1.3261752598820565E-4</v>
          </cell>
          <cell r="H18">
            <v>4.3975977908537349E-4</v>
          </cell>
          <cell r="I18">
            <v>2.7021477061074954E-4</v>
          </cell>
        </row>
        <row r="19">
          <cell r="A19" t="str">
            <v>RNWWND1</v>
          </cell>
          <cell r="C19" t="str">
            <v>WND</v>
          </cell>
          <cell r="D19">
            <v>0.5227010290841585</v>
          </cell>
          <cell r="E19">
            <v>0.54398393658994759</v>
          </cell>
          <cell r="F19">
            <v>0.50185519621902797</v>
          </cell>
          <cell r="G19">
            <v>2.4884703212470511</v>
          </cell>
          <cell r="H19">
            <v>2.5200047327803206</v>
          </cell>
          <cell r="I19">
            <v>2.5200046121956374</v>
          </cell>
        </row>
        <row r="20">
          <cell r="A20" t="str">
            <v>RNWWND2</v>
          </cell>
          <cell r="C20" t="str">
            <v>WND</v>
          </cell>
          <cell r="D20">
            <v>4.5966360104122592E-4</v>
          </cell>
          <cell r="E20">
            <v>4.5870557581772202E-4</v>
          </cell>
          <cell r="F20">
            <v>4.6565526298601544E-4</v>
          </cell>
          <cell r="G20">
            <v>4.7376060808814222E-4</v>
          </cell>
          <cell r="H20">
            <v>4.1452548548034169</v>
          </cell>
          <cell r="I20">
            <v>5.3999994739797259</v>
          </cell>
        </row>
        <row r="21">
          <cell r="A21" t="str">
            <v>RNWMNR1</v>
          </cell>
          <cell r="C21" t="str">
            <v>MNR</v>
          </cell>
          <cell r="D21">
            <v>3.7891493452349727</v>
          </cell>
          <cell r="E21">
            <v>4.7600136877922496</v>
          </cell>
          <cell r="F21">
            <v>5.1133459451682546</v>
          </cell>
          <cell r="G21">
            <v>5.7022334376341224</v>
          </cell>
          <cell r="H21">
            <v>7.1940801643304058</v>
          </cell>
          <cell r="I21">
            <v>8.9999996862177092</v>
          </cell>
        </row>
        <row r="22">
          <cell r="A22" t="str">
            <v>RNWWND3</v>
          </cell>
          <cell r="C22" t="str">
            <v>WND</v>
          </cell>
          <cell r="D22">
            <v>4.0291996105641165E-4</v>
          </cell>
          <cell r="E22">
            <v>4.0181661374855159E-4</v>
          </cell>
          <cell r="F22">
            <v>4.0852432891264339E-4</v>
          </cell>
          <cell r="G22">
            <v>4.154059021692656E-4</v>
          </cell>
          <cell r="H22">
            <v>3.2750480777111865E-3</v>
          </cell>
          <cell r="I22">
            <v>5.417996741796081</v>
          </cell>
        </row>
        <row r="23">
          <cell r="A23" t="str">
            <v>RNWMNR2</v>
          </cell>
          <cell r="C23" t="str">
            <v>MNR</v>
          </cell>
          <cell r="D23">
            <v>5.757564722549134E-3</v>
          </cell>
          <cell r="E23">
            <v>4.7600054174775313</v>
          </cell>
          <cell r="F23">
            <v>5.1133406126746879</v>
          </cell>
          <cell r="G23">
            <v>5.7022309628702672</v>
          </cell>
          <cell r="H23">
            <v>7.1940786864681998</v>
          </cell>
          <cell r="I23">
            <v>8.999998956011904</v>
          </cell>
        </row>
        <row r="24">
          <cell r="A24" t="str">
            <v>RNWWND4</v>
          </cell>
          <cell r="C24" t="str">
            <v>WND</v>
          </cell>
          <cell r="D24">
            <v>2.4126491230988523E-4</v>
          </cell>
          <cell r="E24">
            <v>2.3982563840735632E-4</v>
          </cell>
          <cell r="F24">
            <v>2.4377708468397487E-4</v>
          </cell>
          <cell r="G24">
            <v>2.4714351254894455E-4</v>
          </cell>
          <cell r="H24">
            <v>4.3983355571058474E-4</v>
          </cell>
          <cell r="I24">
            <v>3.3647805727214718E-4</v>
          </cell>
        </row>
        <row r="25">
          <cell r="A25" t="str">
            <v>RNWMNR3</v>
          </cell>
          <cell r="C25" t="str">
            <v>MNR</v>
          </cell>
          <cell r="D25">
            <v>3.178347892380497E-3</v>
          </cell>
          <cell r="E25">
            <v>1.0161163818051591</v>
          </cell>
          <cell r="F25">
            <v>0.30994175051841238</v>
          </cell>
          <cell r="G25">
            <v>3.3372204445628357</v>
          </cell>
          <cell r="H25">
            <v>7.1940745995197721</v>
          </cell>
          <cell r="I25">
            <v>8.9999980837461599</v>
          </cell>
        </row>
        <row r="26">
          <cell r="A26" t="str">
            <v>IMPLFO1</v>
          </cell>
          <cell r="C26" t="str">
            <v>LFO</v>
          </cell>
          <cell r="D26">
            <v>101.72880733245017</v>
          </cell>
          <cell r="E26">
            <v>90.977470961500657</v>
          </cell>
          <cell r="F26">
            <v>86.664303402749795</v>
          </cell>
          <cell r="G26">
            <v>60.632663294907928</v>
          </cell>
          <cell r="H26">
            <v>33.276146215505619</v>
          </cell>
          <cell r="I26">
            <v>11.120919194000487</v>
          </cell>
        </row>
        <row r="27">
          <cell r="A27" t="str">
            <v>RNWWND5</v>
          </cell>
          <cell r="C27" t="str">
            <v>WND</v>
          </cell>
          <cell r="D27">
            <v>2.0979256575455135E-4</v>
          </cell>
          <cell r="E27">
            <v>2.0828154129954316E-4</v>
          </cell>
          <cell r="F27">
            <v>2.1231593623406413E-4</v>
          </cell>
          <cell r="G27">
            <v>2.1487105248861217E-4</v>
          </cell>
          <cell r="H27">
            <v>3.305164432344139E-4</v>
          </cell>
          <cell r="I27">
            <v>2.4010944436965624E-4</v>
          </cell>
        </row>
        <row r="28">
          <cell r="A28" t="str">
            <v>IMPBNGA</v>
          </cell>
          <cell r="C28" t="str">
            <v>BIO</v>
          </cell>
          <cell r="E28">
            <v>0.11188981956459397</v>
          </cell>
          <cell r="F28">
            <v>0.63143910699451566</v>
          </cell>
          <cell r="G28">
            <v>0.72074479940832614</v>
          </cell>
          <cell r="H28">
            <v>1.2858140066515937</v>
          </cell>
          <cell r="I28">
            <v>1.8778141599662945</v>
          </cell>
        </row>
        <row r="29">
          <cell r="A29" t="str">
            <v>RNWGEO1</v>
          </cell>
          <cell r="C29" t="str">
            <v>GEO</v>
          </cell>
          <cell r="H29">
            <v>2.7930514172844902E-2</v>
          </cell>
          <cell r="I29">
            <v>2.7786471054318904E-2</v>
          </cell>
        </row>
        <row r="30">
          <cell r="A30" t="str">
            <v>RNWGEO2</v>
          </cell>
          <cell r="C30" t="str">
            <v>GEO</v>
          </cell>
          <cell r="H30">
            <v>3.0716834762887675E-3</v>
          </cell>
          <cell r="I30">
            <v>3.1313247270830964E-3</v>
          </cell>
        </row>
        <row r="31">
          <cell r="A31" t="str">
            <v>RNWGEO3</v>
          </cell>
          <cell r="C31" t="str">
            <v>GEO</v>
          </cell>
          <cell r="H31">
            <v>1.0736103437983134E-3</v>
          </cell>
          <cell r="I31">
            <v>1.1370558434523352E-3</v>
          </cell>
        </row>
        <row r="32">
          <cell r="A32" t="str">
            <v>RNWGEO4</v>
          </cell>
          <cell r="C32" t="str">
            <v>GEO</v>
          </cell>
          <cell r="H32">
            <v>8.1363710780814748E-4</v>
          </cell>
          <cell r="I32">
            <v>8.5142367697566348E-4</v>
          </cell>
        </row>
        <row r="33">
          <cell r="A33" t="str">
            <v>RNWGEO5</v>
          </cell>
          <cell r="C33" t="str">
            <v>GEO</v>
          </cell>
          <cell r="H33">
            <v>6.5697697516604707E-4</v>
          </cell>
          <cell r="I33">
            <v>6.8215920346942653E-4</v>
          </cell>
        </row>
        <row r="34">
          <cell r="A34" t="str">
            <v>IMPGSL</v>
          </cell>
          <cell r="C34" t="str">
            <v>GSL</v>
          </cell>
          <cell r="D34">
            <v>79.506326095632531</v>
          </cell>
          <cell r="E34">
            <v>79.933816564524363</v>
          </cell>
          <cell r="F34">
            <v>72.297241788786152</v>
          </cell>
          <cell r="G34">
            <v>59.063839411805112</v>
          </cell>
          <cell r="H34">
            <v>40.402879466696504</v>
          </cell>
          <cell r="I34">
            <v>30.177613625652821</v>
          </cell>
        </row>
        <row r="35">
          <cell r="A35" t="str">
            <v>RNWWOD1</v>
          </cell>
          <cell r="C35" t="str">
            <v>WOD</v>
          </cell>
          <cell r="D35">
            <v>10.18234030753838</v>
          </cell>
          <cell r="E35">
            <v>11.15295060373098</v>
          </cell>
          <cell r="F35">
            <v>12.608866604101053</v>
          </cell>
          <cell r="G35">
            <v>15.035394262025742</v>
          </cell>
          <cell r="H35">
            <v>17.461922303487643</v>
          </cell>
          <cell r="I35">
            <v>17.46192218127749</v>
          </cell>
        </row>
        <row r="36">
          <cell r="A36" t="str">
            <v>RNWWOD2</v>
          </cell>
          <cell r="C36" t="str">
            <v>WOD</v>
          </cell>
          <cell r="D36">
            <v>7.4592172478086747</v>
          </cell>
          <cell r="E36">
            <v>8.0030403435808921</v>
          </cell>
          <cell r="F36">
            <v>8.8187755314480611</v>
          </cell>
          <cell r="G36">
            <v>10.17833505267023</v>
          </cell>
          <cell r="H36">
            <v>10.230788177722225</v>
          </cell>
          <cell r="I36">
            <v>7.6165741027374994</v>
          </cell>
        </row>
        <row r="37">
          <cell r="A37" t="str">
            <v>RNWWOD3</v>
          </cell>
          <cell r="C37" t="str">
            <v>WOD</v>
          </cell>
          <cell r="D37">
            <v>2.6225292823729633</v>
          </cell>
          <cell r="E37">
            <v>3.2650043623440919</v>
          </cell>
          <cell r="F37">
            <v>4.2287178949855697</v>
          </cell>
          <cell r="G37">
            <v>5.8349084892729106</v>
          </cell>
          <cell r="H37">
            <v>6.3806232588142242</v>
          </cell>
          <cell r="I37">
            <v>4.259671371890704</v>
          </cell>
        </row>
        <row r="38">
          <cell r="A38" t="str">
            <v>RNWWOD4</v>
          </cell>
          <cell r="C38" t="str">
            <v>WOD</v>
          </cell>
          <cell r="D38">
            <v>16.967544622314222</v>
          </cell>
          <cell r="E38">
            <v>16.921791600161768</v>
          </cell>
          <cell r="F38">
            <v>16.853159337380884</v>
          </cell>
          <cell r="G38">
            <v>16.211840427791788</v>
          </cell>
          <cell r="H38">
            <v>18.143922129434557</v>
          </cell>
          <cell r="I38">
            <v>21.182976836768063</v>
          </cell>
        </row>
        <row r="39">
          <cell r="A39" t="str">
            <v>RNWWOD5</v>
          </cell>
          <cell r="C39" t="str">
            <v>WOD</v>
          </cell>
          <cell r="D39">
            <v>7.5383711089642675</v>
          </cell>
          <cell r="E39">
            <v>7.9181133472475658</v>
          </cell>
          <cell r="F39">
            <v>4.7513829651192161</v>
          </cell>
          <cell r="G39">
            <v>8.75316635990843E-4</v>
          </cell>
          <cell r="H39">
            <v>7.8914304510331936</v>
          </cell>
          <cell r="I39">
            <v>13.234503425961096</v>
          </cell>
        </row>
        <row r="40">
          <cell r="A40" t="str">
            <v>RNNWWST1</v>
          </cell>
          <cell r="C40" t="str">
            <v>WSTNREN</v>
          </cell>
          <cell r="D40">
            <v>35.611767962170134</v>
          </cell>
          <cell r="E40">
            <v>35.882382865449536</v>
          </cell>
          <cell r="F40">
            <v>35.489472925590491</v>
          </cell>
          <cell r="G40">
            <v>35.039965152075986</v>
          </cell>
          <cell r="H40">
            <v>35.159448166941985</v>
          </cell>
          <cell r="I40">
            <v>35.603175499077594</v>
          </cell>
        </row>
        <row r="41">
          <cell r="A41" t="str">
            <v>RNWSOL1</v>
          </cell>
          <cell r="C41" t="str">
            <v>SOL</v>
          </cell>
          <cell r="D41">
            <v>12.5564556997849</v>
          </cell>
          <cell r="E41">
            <v>16.523406497406022</v>
          </cell>
          <cell r="F41">
            <v>30.360525298571201</v>
          </cell>
          <cell r="G41">
            <v>34.724793680267311</v>
          </cell>
          <cell r="H41">
            <v>47.044501332929372</v>
          </cell>
          <cell r="I41">
            <v>78.008105266705584</v>
          </cell>
        </row>
        <row r="42">
          <cell r="A42" t="str">
            <v>IMPHFO1</v>
          </cell>
          <cell r="C42" t="str">
            <v>HFO</v>
          </cell>
          <cell r="D42">
            <v>2.7763696549967132</v>
          </cell>
          <cell r="E42">
            <v>2.278149624022481E-4</v>
          </cell>
          <cell r="F42">
            <v>6.6834567980590394E-4</v>
          </cell>
          <cell r="G42">
            <v>4.4597618900430505E-4</v>
          </cell>
          <cell r="H42">
            <v>3.6026310428607434E-4</v>
          </cell>
        </row>
        <row r="43">
          <cell r="A43" t="str">
            <v>RNWHYDD1</v>
          </cell>
          <cell r="C43" t="str">
            <v>HYDD</v>
          </cell>
          <cell r="D43">
            <v>66.745679999930999</v>
          </cell>
          <cell r="E43">
            <v>49.798800988665541</v>
          </cell>
          <cell r="F43">
            <v>68.536815682906294</v>
          </cell>
          <cell r="G43">
            <v>70.225171135770736</v>
          </cell>
          <cell r="H43">
            <v>72.772887627226268</v>
          </cell>
          <cell r="I43">
            <v>69.178233945386452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1.9881828876793761</v>
          </cell>
          <cell r="H44">
            <v>0.34771668493290808</v>
          </cell>
          <cell r="I44">
            <v>1.0615991350646792E-5</v>
          </cell>
        </row>
        <row r="45">
          <cell r="A45" t="str">
            <v>IMPBDS</v>
          </cell>
          <cell r="C45" t="str">
            <v>BDS</v>
          </cell>
          <cell r="D45">
            <v>2.6030290179564557</v>
          </cell>
          <cell r="E45">
            <v>2.296296962495505</v>
          </cell>
          <cell r="F45">
            <v>2.3887774258843608</v>
          </cell>
          <cell r="G45">
            <v>3.0148263166911375</v>
          </cell>
          <cell r="H45">
            <v>3.4114742779197633</v>
          </cell>
          <cell r="I45">
            <v>3.4115898702802858</v>
          </cell>
        </row>
        <row r="46">
          <cell r="A46" t="str">
            <v>IMPCOA1</v>
          </cell>
          <cell r="C46" t="str">
            <v>COA</v>
          </cell>
          <cell r="D46">
            <v>3.6600014276038904</v>
          </cell>
          <cell r="E46">
            <v>3.5647166876924925</v>
          </cell>
          <cell r="F46">
            <v>3.2525428857421632</v>
          </cell>
          <cell r="G46">
            <v>6.8246252735741425E-3</v>
          </cell>
          <cell r="H46">
            <v>3.336828852408488E-4</v>
          </cell>
          <cell r="I46">
            <v>9.5725429957025708E-5</v>
          </cell>
        </row>
        <row r="47">
          <cell r="A47" t="str">
            <v>IMPETH</v>
          </cell>
          <cell r="C47" t="str">
            <v>ETH</v>
          </cell>
          <cell r="D47">
            <v>4.4341502097051508</v>
          </cell>
          <cell r="E47">
            <v>4.6289935270399374</v>
          </cell>
          <cell r="F47">
            <v>4.0169641397565883</v>
          </cell>
          <cell r="G47">
            <v>3.3016101274255911</v>
          </cell>
          <cell r="H47">
            <v>2.339894386668175</v>
          </cell>
          <cell r="I47">
            <v>1.7477793272226512</v>
          </cell>
        </row>
        <row r="48">
          <cell r="A48" t="str">
            <v>IMPELC_DE</v>
          </cell>
          <cell r="C48" t="str">
            <v>ELC_I-DE</v>
          </cell>
          <cell r="D48">
            <v>46.398475558501573</v>
          </cell>
          <cell r="E48">
            <v>35.891849205198618</v>
          </cell>
          <cell r="F48">
            <v>31.622899408519753</v>
          </cell>
          <cell r="G48">
            <v>38.135521314842329</v>
          </cell>
          <cell r="H48">
            <v>35.474594954526495</v>
          </cell>
          <cell r="I48">
            <v>28.461176740403385</v>
          </cell>
        </row>
        <row r="49">
          <cell r="A49" t="str">
            <v>IMPELC_DE</v>
          </cell>
          <cell r="C49" t="str">
            <v>ELCS</v>
          </cell>
          <cell r="D49">
            <v>46.398475558501573</v>
          </cell>
          <cell r="E49">
            <v>35.891849205198618</v>
          </cell>
          <cell r="F49">
            <v>31.622899408519753</v>
          </cell>
          <cell r="G49">
            <v>38.135521314842329</v>
          </cell>
          <cell r="H49">
            <v>35.474594954526495</v>
          </cell>
          <cell r="I49">
            <v>28.461176740403385</v>
          </cell>
        </row>
        <row r="50">
          <cell r="A50" t="str">
            <v>RNWWST1</v>
          </cell>
          <cell r="C50" t="str">
            <v>WSTREN</v>
          </cell>
          <cell r="D50">
            <v>33.781101896907302</v>
          </cell>
          <cell r="E50">
            <v>33.781101298262733</v>
          </cell>
          <cell r="F50">
            <v>33.781101453418103</v>
          </cell>
          <cell r="G50">
            <v>33.781102253005891</v>
          </cell>
          <cell r="H50">
            <v>33.781112630562291</v>
          </cell>
          <cell r="I50">
            <v>33.78114636250956</v>
          </cell>
        </row>
        <row r="51">
          <cell r="A51" t="str">
            <v>IMPNGA1</v>
          </cell>
          <cell r="C51" t="str">
            <v>NGA</v>
          </cell>
          <cell r="D51">
            <v>117.0020852666234</v>
          </cell>
          <cell r="E51">
            <v>106.71999990040375</v>
          </cell>
          <cell r="F51">
            <v>108.30175106928201</v>
          </cell>
          <cell r="G51">
            <v>106.66153969256575</v>
          </cell>
          <cell r="H51">
            <v>78.048740787350468</v>
          </cell>
          <cell r="I51">
            <v>48.675717937303283</v>
          </cell>
        </row>
        <row r="52">
          <cell r="A52" t="str">
            <v>IMPELC_IT</v>
          </cell>
          <cell r="C52" t="str">
            <v>ELC_I-IT</v>
          </cell>
          <cell r="D52">
            <v>6.7990980764669917</v>
          </cell>
          <cell r="E52">
            <v>1.856807367376446E-4</v>
          </cell>
          <cell r="F52">
            <v>1.6304639889949565E-4</v>
          </cell>
          <cell r="G52">
            <v>7.1596818422577535E-5</v>
          </cell>
          <cell r="H52">
            <v>9.2266940484499714E-5</v>
          </cell>
          <cell r="I52">
            <v>8.5749673302188453E-5</v>
          </cell>
        </row>
        <row r="53">
          <cell r="A53" t="str">
            <v>IMPELC_IT</v>
          </cell>
          <cell r="C53" t="str">
            <v>ELCS</v>
          </cell>
          <cell r="D53">
            <v>6.7990980764669917</v>
          </cell>
          <cell r="E53">
            <v>1.856807367376446E-4</v>
          </cell>
          <cell r="F53">
            <v>1.6304639889949565E-4</v>
          </cell>
          <cell r="G53">
            <v>7.1596818422577535E-5</v>
          </cell>
          <cell r="H53">
            <v>9.2266940484499714E-5</v>
          </cell>
          <cell r="I53">
            <v>8.5749673302188453E-5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3.2682066639566409</v>
          </cell>
          <cell r="E4">
            <v>3.8319824274544021</v>
          </cell>
          <cell r="F4">
            <v>0.67787541981990074</v>
          </cell>
          <cell r="G4">
            <v>1.1788593396725433</v>
          </cell>
          <cell r="H4">
            <v>1.9124801932954423</v>
          </cell>
          <cell r="I4">
            <v>2.4968753574877889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3.2682066639566409</v>
          </cell>
          <cell r="E5">
            <v>3.8319824274544021</v>
          </cell>
          <cell r="F5">
            <v>0.67787541981990074</v>
          </cell>
          <cell r="G5">
            <v>1.1788593396725433</v>
          </cell>
          <cell r="H5">
            <v>1.9124801932954423</v>
          </cell>
          <cell r="I5">
            <v>2.4968753574877889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1.116478519112886E-5</v>
          </cell>
          <cell r="F6">
            <v>4.3418975239650507E-5</v>
          </cell>
          <cell r="G6">
            <v>1.0359242229494154E-4</v>
          </cell>
          <cell r="H6">
            <v>6.5939642030918549E-5</v>
          </cell>
          <cell r="I6">
            <v>1.8436785182703283E-4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7.4960206740959874E-7</v>
          </cell>
          <cell r="F7">
            <v>3.9102660502802957E-5</v>
          </cell>
          <cell r="G7">
            <v>1.0216986194041203E-4</v>
          </cell>
          <cell r="H7">
            <v>6.5400261446961009E-5</v>
          </cell>
          <cell r="I7">
            <v>1.8420370257452912E-4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1.19776239385531E-4</v>
          </cell>
          <cell r="E8">
            <v>2.17164398227296E-4</v>
          </cell>
          <cell r="F8">
            <v>5.5695619389006699E-5</v>
          </cell>
          <cell r="G8">
            <v>1.8967817038374801E-7</v>
          </cell>
          <cell r="H8">
            <v>1.07632666518025E-5</v>
          </cell>
          <cell r="I8">
            <v>2.4798803522126899E-5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1.19776239385531E-4</v>
          </cell>
          <cell r="E9">
            <v>3.3694063761282699E-4</v>
          </cell>
          <cell r="F9">
            <v>3.9263625700183401E-4</v>
          </cell>
          <cell r="G9">
            <v>3.9282593517221801E-4</v>
          </cell>
          <cell r="H9">
            <v>2.4082388718134101E-5</v>
          </cell>
          <cell r="I9">
            <v>3.4016380037755999E-5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2.99741270831817E-4</v>
          </cell>
          <cell r="F10">
            <v>8.6816033398921704</v>
          </cell>
          <cell r="G10">
            <v>13.0758560077449</v>
          </cell>
          <cell r="H10">
            <v>14.2057114184569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3.6433951395771462E-6</v>
          </cell>
          <cell r="F11">
            <v>0.11186606202181811</v>
          </cell>
          <cell r="G11">
            <v>0.16849228694328269</v>
          </cell>
          <cell r="H11">
            <v>0.18305667056850669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4.0670457372023922E-6</v>
          </cell>
          <cell r="F12">
            <v>0.11779651750192902</v>
          </cell>
          <cell r="G12">
            <v>0.17742002724212885</v>
          </cell>
          <cell r="H12">
            <v>0.19275049414459886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9.1849727394468993E-6</v>
          </cell>
          <cell r="F13">
            <v>8.0227647845218006E-2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9.1849727394468993E-6</v>
          </cell>
          <cell r="F14">
            <v>8.0233788296300651E-2</v>
          </cell>
          <cell r="G14">
            <v>8.0231268224198307E-2</v>
          </cell>
          <cell r="H14">
            <v>1.4210065216620691E-2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4.9923667731583903</v>
          </cell>
          <cell r="G15">
            <v>15.784817170866599</v>
          </cell>
          <cell r="H15">
            <v>27.707071232892702</v>
          </cell>
          <cell r="I15">
            <v>36.437672284983101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0.17095052005421163</v>
          </cell>
          <cell r="G16">
            <v>0.54838750170885242</v>
          </cell>
          <cell r="H16">
            <v>0.97805279317923199</v>
          </cell>
          <cell r="I16">
            <v>1.3005736832485788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8.8517141368056454E-2</v>
          </cell>
          <cell r="G17">
            <v>0.27987264487352043</v>
          </cell>
          <cell r="H17">
            <v>0.49126012824277876</v>
          </cell>
          <cell r="I17">
            <v>0.64605801923728878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0.17095052005421163</v>
          </cell>
          <cell r="G18">
            <v>0.54838750170885242</v>
          </cell>
          <cell r="H18">
            <v>0.97805279317923199</v>
          </cell>
          <cell r="I18">
            <v>1.3005736832485788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1.4656380598353E-7</v>
          </cell>
          <cell r="F19">
            <v>1.2466111048253599E-2</v>
          </cell>
          <cell r="G19">
            <v>2.7488695217970101E-2</v>
          </cell>
          <cell r="H19">
            <v>3.3285169126585898E-2</v>
          </cell>
          <cell r="I19">
            <v>6.3594973341046301E-2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1.4656380598353E-7</v>
          </cell>
          <cell r="F20">
            <v>1.2466222698187569E-2</v>
          </cell>
          <cell r="G20">
            <v>3.9954903595337675E-2</v>
          </cell>
          <cell r="H20">
            <v>7.1472337016959486E-2</v>
          </cell>
          <cell r="I20">
            <v>9.50286561055384E-2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0.46151841191049769</v>
          </cell>
          <cell r="E21">
            <v>0.54457505353748181</v>
          </cell>
          <cell r="F21">
            <v>0.54470890751752621</v>
          </cell>
          <cell r="G21">
            <v>0.54471152396742384</v>
          </cell>
          <cell r="H21">
            <v>0.54471972930466128</v>
          </cell>
          <cell r="I21">
            <v>0.54472209340530808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0.46151841191049769</v>
          </cell>
          <cell r="E22">
            <v>0.54457505353748181</v>
          </cell>
          <cell r="F22">
            <v>0.54470890751752621</v>
          </cell>
          <cell r="G22">
            <v>0.54471152396742384</v>
          </cell>
          <cell r="H22">
            <v>0.54471972930466128</v>
          </cell>
          <cell r="I22">
            <v>0.54472209340530808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0.6257876771667773</v>
          </cell>
          <cell r="E23">
            <v>0.73757343594241342</v>
          </cell>
          <cell r="F23">
            <v>0.73650781861524639</v>
          </cell>
          <cell r="G23">
            <v>0.73444250422573998</v>
          </cell>
          <cell r="H23">
            <v>0.73035047504535577</v>
          </cell>
          <cell r="I23">
            <v>0.72629612454041059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8.0902569204116606E-3</v>
          </cell>
          <cell r="F24">
            <v>1.15254923317862E-5</v>
          </cell>
          <cell r="G24">
            <v>4.16413636098791E-6</v>
          </cell>
          <cell r="H24">
            <v>1.15720806444264E-2</v>
          </cell>
          <cell r="I24">
            <v>2.15766335749746E-2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3.7950559751211324E-2</v>
          </cell>
          <cell r="F25">
            <v>3.7947598373853662E-2</v>
          </cell>
          <cell r="G25">
            <v>3.7941505374217137E-2</v>
          </cell>
          <cell r="H25">
            <v>4.2991683729450982E-2</v>
          </cell>
          <cell r="I25">
            <v>4.3262177162725762E-2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1.4712407535347069E-4</v>
          </cell>
          <cell r="H26">
            <v>1.5867993657377145E-4</v>
          </cell>
          <cell r="I26">
            <v>9.1796274869569258E-5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1.4719223801017294E-4</v>
          </cell>
          <cell r="H27">
            <v>1.5874201990026993E-4</v>
          </cell>
          <cell r="I27">
            <v>9.1823855836927929E-5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2.9227316074734687E-4</v>
          </cell>
          <cell r="H28">
            <v>3.1303005408705472E-4</v>
          </cell>
          <cell r="I28">
            <v>1.8195591660997615E-4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0.5204709624503574</v>
          </cell>
          <cell r="E29">
            <v>0.59724051604959749</v>
          </cell>
          <cell r="F29">
            <v>1.1866053190037533</v>
          </cell>
          <cell r="G29">
            <v>1.3267531447621834</v>
          </cell>
          <cell r="H29">
            <v>1.5489355303206904</v>
          </cell>
          <cell r="I29">
            <v>1.7475827433534119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1.0409419249007152</v>
          </cell>
          <cell r="E30">
            <v>1.1944810320991948</v>
          </cell>
          <cell r="F30">
            <v>2.7088511168743774</v>
          </cell>
          <cell r="G30">
            <v>2.9335694098350857</v>
          </cell>
          <cell r="H30">
            <v>3.285867470826402</v>
          </cell>
          <cell r="I30">
            <v>3.5803572461246809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5.3569908907696202E-3</v>
          </cell>
          <cell r="F31">
            <v>3.7903970986195801E-2</v>
          </cell>
          <cell r="G31">
            <v>1.2104891282278599E-2</v>
          </cell>
          <cell r="H31">
            <v>5.52195276815583E-2</v>
          </cell>
          <cell r="I31">
            <v>6.6194316309401702E-2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4.067892542599226E-2</v>
          </cell>
          <cell r="F32">
            <v>7.8582793193776937E-2</v>
          </cell>
          <cell r="G32">
            <v>9.0687648761853062E-2</v>
          </cell>
          <cell r="H32">
            <v>0.10588314321685044</v>
          </cell>
          <cell r="I32">
            <v>0.12136251745295788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4.3871547944033749</v>
          </cell>
          <cell r="E33">
            <v>5.0342714229377172</v>
          </cell>
          <cell r="F33">
            <v>5.2312306299110327</v>
          </cell>
          <cell r="G33">
            <v>4.6153291676394277</v>
          </cell>
          <cell r="H33">
            <v>3.3466330141284568</v>
          </cell>
          <cell r="I33">
            <v>2.3016061565316863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6.093270547782466</v>
          </cell>
          <cell r="E34">
            <v>6.9920436429690493</v>
          </cell>
          <cell r="F34">
            <v>7.3062370617585994</v>
          </cell>
          <cell r="G34">
            <v>6.3353593441730487</v>
          </cell>
          <cell r="H34">
            <v>4.5201424686941722</v>
          </cell>
          <cell r="I34">
            <v>3.0697076516578012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5.2294474899192603E-2</v>
          </cell>
          <cell r="F35">
            <v>1.5902315755941698E-2</v>
          </cell>
          <cell r="G35">
            <v>6.3896961357961203E-8</v>
          </cell>
          <cell r="H35">
            <v>8.5360389707601902E-2</v>
          </cell>
          <cell r="I35">
            <v>4.6875365497060402E-2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0.40672248776304415</v>
          </cell>
          <cell r="F36">
            <v>0.42262478555858435</v>
          </cell>
          <cell r="G36">
            <v>0.4226237574134456</v>
          </cell>
          <cell r="H36">
            <v>0.27050652577877488</v>
          </cell>
          <cell r="I36">
            <v>0.1859486409461065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3.2259276394848657E-2</v>
          </cell>
          <cell r="I37">
            <v>0.17773105114189333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3.2585127671564323E-2</v>
          </cell>
          <cell r="I38">
            <v>0.17952631428474067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2.9661279289129002E-7</v>
          </cell>
          <cell r="H39">
            <v>4.1543350563958302E-3</v>
          </cell>
          <cell r="I39">
            <v>1.9823840499667501E-2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2.9661279289129002E-7</v>
          </cell>
          <cell r="H40">
            <v>4.1555332962365504E-3</v>
          </cell>
          <cell r="I40">
            <v>2.3979373795904001E-2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6.1735451768496512</v>
          </cell>
          <cell r="E41">
            <v>6.7112482135121931</v>
          </cell>
          <cell r="F41">
            <v>6.4188145800137555</v>
          </cell>
          <cell r="G41">
            <v>6.7111894039628988</v>
          </cell>
          <cell r="H41">
            <v>6.428569770756682</v>
          </cell>
          <cell r="I41">
            <v>6.3220871981990765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8.5743683011800709</v>
          </cell>
          <cell r="E42">
            <v>9.3211780743224981</v>
          </cell>
          <cell r="F42">
            <v>9.4935217103454388</v>
          </cell>
          <cell r="G42">
            <v>9.8919021417054758</v>
          </cell>
          <cell r="H42">
            <v>9.4753372697097831</v>
          </cell>
          <cell r="I42">
            <v>9.2921341736908278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1.5866006390938701E-4</v>
          </cell>
          <cell r="E43">
            <v>4.0212610123292497E-2</v>
          </cell>
          <cell r="F43">
            <v>1.5527596076475401E-6</v>
          </cell>
          <cell r="G43">
            <v>3.8927852093910898E-6</v>
          </cell>
          <cell r="H43">
            <v>0.1319355316617</v>
          </cell>
          <cell r="I43">
            <v>0.24707628740691701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0.4785789378810214</v>
          </cell>
          <cell r="E44">
            <v>0.51879146056305592</v>
          </cell>
          <cell r="F44">
            <v>0.51879242462966213</v>
          </cell>
          <cell r="G44">
            <v>0.51879591359927046</v>
          </cell>
          <cell r="H44">
            <v>0.49923117434833353</v>
          </cell>
          <cell r="I44">
            <v>0.49818910129729455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5.1850592030586737</v>
          </cell>
          <cell r="E45">
            <v>5.5675603674967764</v>
          </cell>
          <cell r="F45">
            <v>5.6771976070966881</v>
          </cell>
          <cell r="G45">
            <v>7.1924558370918161</v>
          </cell>
          <cell r="H45">
            <v>10.724967376132343</v>
          </cell>
          <cell r="I45">
            <v>12.97248323892901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5.1850592030586737</v>
          </cell>
          <cell r="E46">
            <v>5.5675603674967764</v>
          </cell>
          <cell r="F46">
            <v>5.6771976070966881</v>
          </cell>
          <cell r="G46">
            <v>7.1924558370918161</v>
          </cell>
          <cell r="H46">
            <v>10.724967376132343</v>
          </cell>
          <cell r="I46">
            <v>12.97248323892901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5.6086450395059524</v>
          </cell>
          <cell r="E47">
            <v>6.0095225021584691</v>
          </cell>
          <cell r="F47">
            <v>6.1082802186598748</v>
          </cell>
          <cell r="G47">
            <v>7.6975970068490591</v>
          </cell>
          <cell r="H47">
            <v>11.357858124294747</v>
          </cell>
          <cell r="I47">
            <v>13.655245514662109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1.55641027651383E-2</v>
          </cell>
          <cell r="F48">
            <v>2.35645934630739E-2</v>
          </cell>
          <cell r="G48">
            <v>9.9287101295330693E-2</v>
          </cell>
          <cell r="H48">
            <v>0.13168984003291101</v>
          </cell>
          <cell r="I48">
            <v>0.49608918994730899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0.3276445606037543</v>
          </cell>
          <cell r="F49">
            <v>0.33098812800949123</v>
          </cell>
          <cell r="G49">
            <v>0.41664000381199195</v>
          </cell>
          <cell r="H49">
            <v>0.61850751885045363</v>
          </cell>
          <cell r="I49">
            <v>0.76267468739319422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1.2877610283906938E-3</v>
          </cell>
          <cell r="G50">
            <v>9.9070283979423674E-4</v>
          </cell>
          <cell r="H50">
            <v>9.931883678458665E-4</v>
          </cell>
          <cell r="I50">
            <v>5.6719678629267321E-2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1.2882966869940066E-3</v>
          </cell>
          <cell r="G51">
            <v>9.9113576579761757E-4</v>
          </cell>
          <cell r="H51">
            <v>9.9354519342600436E-4</v>
          </cell>
          <cell r="I51">
            <v>5.6721090674622263E-2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4.7696023851229601E-6</v>
          </cell>
          <cell r="E52">
            <v>3.6986060052653002E-6</v>
          </cell>
          <cell r="F52">
            <v>1.41666572914629E-2</v>
          </cell>
          <cell r="G52">
            <v>2.0284811977349E-2</v>
          </cell>
          <cell r="H52">
            <v>3.2659627941389199E-2</v>
          </cell>
          <cell r="I52">
            <v>6.581820430233E-2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4.7739422251834643E-6</v>
          </cell>
          <cell r="E53">
            <v>4.6577892583767191E-7</v>
          </cell>
          <cell r="F53">
            <v>1.4165385855058313E-2</v>
          </cell>
          <cell r="G53">
            <v>3.4446515392112631E-2</v>
          </cell>
          <cell r="H53">
            <v>6.7170661996983752E-2</v>
          </cell>
          <cell r="I53">
            <v>9.7190095428495049E-2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5.4471563390514718E-2</v>
          </cell>
          <cell r="F54">
            <v>4.3975150684924559E-3</v>
          </cell>
          <cell r="G54">
            <v>6.8184062243027898E-3</v>
          </cell>
          <cell r="H54">
            <v>9.6675894782107565E-3</v>
          </cell>
          <cell r="I54">
            <v>1.1376775849212888E-2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3.4367578926732878</v>
          </cell>
          <cell r="E55">
            <v>3.8270059185278527</v>
          </cell>
          <cell r="F55">
            <v>4.9056511098443973</v>
          </cell>
          <cell r="G55">
            <v>5.3419160793488638</v>
          </cell>
          <cell r="H55">
            <v>5.3562702411108036</v>
          </cell>
          <cell r="I55">
            <v>5.2226595534220008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3.1850679662798727</v>
          </cell>
          <cell r="E56">
            <v>3.5391937450302464</v>
          </cell>
          <cell r="F56">
            <v>1.5877871172095721</v>
          </cell>
          <cell r="G56">
            <v>1.7443418027437194</v>
          </cell>
          <cell r="H56">
            <v>1.7649093432338567</v>
          </cell>
          <cell r="I56">
            <v>1.724214121180766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1.7181779622654887</v>
          </cell>
          <cell r="E57">
            <v>1.8957573578814753</v>
          </cell>
          <cell r="F57">
            <v>1.742101622048063</v>
          </cell>
          <cell r="G57">
            <v>1.5899293314017471</v>
          </cell>
          <cell r="H57">
            <v>8.2110727786389721E-4</v>
          </cell>
          <cell r="I57">
            <v>7.9641207934049982E-2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0.35010400548701653</v>
          </cell>
          <cell r="F58">
            <v>6.459926900538622E-2</v>
          </cell>
          <cell r="G58">
            <v>0.1159807247779161</v>
          </cell>
          <cell r="H58">
            <v>0.17224689638048193</v>
          </cell>
          <cell r="I58">
            <v>0.20646229693966187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9.2187322731932717</v>
          </cell>
          <cell r="E59">
            <v>10.684954074108786</v>
          </cell>
          <cell r="F59">
            <v>9.1590461389103126</v>
          </cell>
          <cell r="G59">
            <v>9.6685772629464921</v>
          </cell>
          <cell r="H59">
            <v>7.9669564551569572</v>
          </cell>
          <cell r="I59">
            <v>7.8445211777190389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0.62767223211643297</v>
          </cell>
          <cell r="E60">
            <v>1.7797349751179301E-7</v>
          </cell>
          <cell r="F60">
            <v>2.03823141961004E-8</v>
          </cell>
          <cell r="G60">
            <v>2.3446601214286501E-8</v>
          </cell>
          <cell r="H60">
            <v>4.2188567969707199E-8</v>
          </cell>
          <cell r="I60">
            <v>4.3337326787338602E-8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0.62767223211643297</v>
          </cell>
          <cell r="E61">
            <v>0.62767241008993102</v>
          </cell>
          <cell r="F61">
            <v>0.62767243047224497</v>
          </cell>
          <cell r="G61">
            <v>0.62767245391884596</v>
          </cell>
          <cell r="H61">
            <v>0.62767253068542594</v>
          </cell>
          <cell r="I61">
            <v>0.627672574022753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1.3397979344328089E-2</v>
          </cell>
          <cell r="E62">
            <v>3.0317584331635998E-4</v>
          </cell>
          <cell r="F62">
            <v>5.0329366946064971E-4</v>
          </cell>
          <cell r="G62">
            <v>5.5549497776345054E-2</v>
          </cell>
          <cell r="H62">
            <v>0.9311211604144255</v>
          </cell>
          <cell r="I62">
            <v>0.83897066474964022</v>
          </cell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1.4294060964685058E-2</v>
          </cell>
          <cell r="E63">
            <v>3.0316401812884546E-4</v>
          </cell>
          <cell r="F63">
            <v>5.0289817139182683E-4</v>
          </cell>
          <cell r="G63">
            <v>5.5433401632597246E-2</v>
          </cell>
          <cell r="H63">
            <v>0.89401764207217982</v>
          </cell>
          <cell r="I63">
            <v>0.80940533828565731</v>
          </cell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2.7692040309013132E-2</v>
          </cell>
          <cell r="E64">
            <v>6.0633986144520554E-4</v>
          </cell>
          <cell r="F64">
            <v>1.0044118523207103E-3</v>
          </cell>
          <cell r="G64">
            <v>0.11098289940894239</v>
          </cell>
          <cell r="H64">
            <v>1.8251388024866053</v>
          </cell>
          <cell r="I64">
            <v>1.6483760030352981</v>
          </cell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73.238324413329352</v>
          </cell>
          <cell r="E65">
            <v>78.573881675061173</v>
          </cell>
          <cell r="F65">
            <v>63.323864381719851</v>
          </cell>
          <cell r="G65">
            <v>62.697985455191009</v>
          </cell>
          <cell r="H65">
            <v>61.442289886516157</v>
          </cell>
          <cell r="I65">
            <v>60.766796042535809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6.9642659648367271</v>
          </cell>
          <cell r="F66">
            <v>2.2358742967150911</v>
          </cell>
          <cell r="G66">
            <v>4.063528436507835</v>
          </cell>
          <cell r="H66">
            <v>7.5659853529276404</v>
          </cell>
          <cell r="I66">
            <v>10.779560314222309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6.1735451768496512</v>
          </cell>
          <cell r="E67">
            <v>6.7112482135121931</v>
          </cell>
          <cell r="F67">
            <v>6.4188145800137555</v>
          </cell>
          <cell r="G67">
            <v>6.7111894039628988</v>
          </cell>
          <cell r="H67">
            <v>6.428569770756682</v>
          </cell>
          <cell r="I67">
            <v>6.3220871981990765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5.5539019416345949</v>
          </cell>
          <cell r="E68">
            <v>6.0159365552732629</v>
          </cell>
          <cell r="F68">
            <v>4.8782314423027771</v>
          </cell>
          <cell r="G68">
            <v>5.6120019375571957</v>
          </cell>
          <cell r="H68">
            <v>6.1491462745810876</v>
          </cell>
          <cell r="I68">
            <v>6.2811085737934098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2.39403607557959</v>
          </cell>
          <cell r="E69">
            <v>0.19409596597630768</v>
          </cell>
          <cell r="F69">
            <v>0.5218987831367029</v>
          </cell>
          <cell r="G69">
            <v>0.35413475233835712</v>
          </cell>
          <cell r="H69">
            <v>0.26263607677976153</v>
          </cell>
          <cell r="I69">
            <v>0.19376566802627249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1.2230667153962358</v>
          </cell>
          <cell r="E70">
            <v>1.3407666426492684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4.2612064148722455</v>
          </cell>
          <cell r="E71">
            <v>4.6176492751683673</v>
          </cell>
          <cell r="F71">
            <v>4.5774327106261206</v>
          </cell>
          <cell r="G71">
            <v>7.1085888645594553</v>
          </cell>
          <cell r="H71">
            <v>11.03793755486226</v>
          </cell>
          <cell r="I71">
            <v>14.918530732039267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1.877070820055613</v>
          </cell>
          <cell r="E72">
            <v>2.1600822734495249</v>
          </cell>
          <cell r="F72">
            <v>0.43430009777469364</v>
          </cell>
          <cell r="G72">
            <v>0.86381664536952363</v>
          </cell>
          <cell r="H72">
            <v>1.4860303137719355</v>
          </cell>
          <cell r="I72">
            <v>1.9705368263526495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0.68565049736606376</v>
          </cell>
          <cell r="E73">
            <v>0.74269060884416782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0.62699647553232962</v>
          </cell>
          <cell r="E74">
            <v>0.68733439237605443</v>
          </cell>
          <cell r="F74">
            <v>0.53383784196380057</v>
          </cell>
          <cell r="G74">
            <v>0.61701576546760506</v>
          </cell>
          <cell r="H74">
            <v>0.72872525067126048</v>
          </cell>
          <cell r="I74">
            <v>0.86695391067143035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24.189714683775183</v>
          </cell>
          <cell r="E75">
            <v>25.326920356442937</v>
          </cell>
          <cell r="F75">
            <v>20.748831932014415</v>
          </cell>
          <cell r="G75">
            <v>18.15555076519178</v>
          </cell>
          <cell r="H75">
            <v>12.086367331747944</v>
          </cell>
          <cell r="I75">
            <v>6.9818800950361535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1.6521760367923957</v>
          </cell>
          <cell r="G76">
            <v>3.2925075419437748</v>
          </cell>
          <cell r="H76">
            <v>5.6901808721684946</v>
          </cell>
          <cell r="I76">
            <v>8.2004154711253943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1.4100658648935389</v>
          </cell>
          <cell r="E77">
            <v>1.5273703158263434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24.843069747374258</v>
          </cell>
          <cell r="E78">
            <v>22.285521110705989</v>
          </cell>
          <cell r="F78">
            <v>21.322466660380101</v>
          </cell>
          <cell r="G78">
            <v>15.91965134229261</v>
          </cell>
          <cell r="H78">
            <v>10.006711088249098</v>
          </cell>
          <cell r="I78">
            <v>4.2519572530698886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3.7609692067871237E-5</v>
          </cell>
          <cell r="E79">
            <v>7.6565772481461294E-5</v>
          </cell>
          <cell r="F79">
            <v>5.645613792925739E-4</v>
          </cell>
          <cell r="G79">
            <v>3.9196281227342559E-4</v>
          </cell>
          <cell r="H79">
            <v>8.2419030882559957E-4</v>
          </cell>
          <cell r="I79">
            <v>8.9617869508757991E-4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3.7609692067871237E-5</v>
          </cell>
          <cell r="E80">
            <v>7.6565772481461294E-5</v>
          </cell>
          <cell r="F80">
            <v>7.2850529774398122E-4</v>
          </cell>
          <cell r="G80">
            <v>4.8994875359395377E-4</v>
          </cell>
          <cell r="H80">
            <v>9.6694006708444229E-4</v>
          </cell>
          <cell r="I80">
            <v>9.919206496539362E-4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8.7400958869933898E-4</v>
          </cell>
          <cell r="E81">
            <v>2.0525011568731798E-6</v>
          </cell>
          <cell r="F81">
            <v>5.6906396397070598E-5</v>
          </cell>
          <cell r="G81">
            <v>1.04941968108891E-5</v>
          </cell>
          <cell r="H81">
            <v>1.4521944236738299E-3</v>
          </cell>
          <cell r="I81">
            <v>2.74179741414439E-4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8.7400958869933898E-4</v>
          </cell>
          <cell r="E82">
            <v>2.1626772877965036E-5</v>
          </cell>
          <cell r="F82">
            <v>8.041220762998306E-5</v>
          </cell>
          <cell r="G82">
            <v>8.4954971447273033E-5</v>
          </cell>
          <cell r="H82">
            <v>1.5656193398429802E-3</v>
          </cell>
          <cell r="I82">
            <v>1.3569924338911622E-3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1.1807205712129945E-2</v>
          </cell>
          <cell r="F83">
            <v>1.6258727631444137E-2</v>
          </cell>
          <cell r="G83">
            <v>3.493788872491782E-2</v>
          </cell>
          <cell r="H83">
            <v>0.50337444231782991</v>
          </cell>
          <cell r="I83">
            <v>0.50501603129048622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1.180801298095927E-2</v>
          </cell>
          <cell r="F84">
            <v>1.6259529092584036E-2</v>
          </cell>
          <cell r="G84">
            <v>3.4938952270319686E-2</v>
          </cell>
          <cell r="H84">
            <v>0.50338210385764359</v>
          </cell>
          <cell r="I84">
            <v>0.5050189818558577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4.42191883295392E-4</v>
          </cell>
          <cell r="F85">
            <v>1.4940179856453499E-4</v>
          </cell>
          <cell r="G85">
            <v>6.4631751194440504E-4</v>
          </cell>
          <cell r="H85">
            <v>2.3070743572361501E-4</v>
          </cell>
          <cell r="I85">
            <v>4.5931165855247098E-3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4.42191883295392E-4</v>
          </cell>
          <cell r="F86">
            <v>5.9141849375254983E-4</v>
          </cell>
          <cell r="G86">
            <v>1.2373678511105322E-3</v>
          </cell>
          <cell r="H86">
            <v>1.9560612835291532E-2</v>
          </cell>
          <cell r="I86">
            <v>1.9579247572921194E-2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1.5669185597632049E-4</v>
          </cell>
          <cell r="E87">
            <v>1.3590786205722582E-5</v>
          </cell>
          <cell r="F87">
            <v>3.9027690559313264E-3</v>
          </cell>
          <cell r="G87">
            <v>1.3741989213394585E-2</v>
          </cell>
          <cell r="H87">
            <v>8.6773687742587992E-4</v>
          </cell>
          <cell r="I87">
            <v>5.7145559190353E-4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/>
          <cell r="F88"/>
          <cell r="G88">
            <v>7.8957762518612921E-6</v>
          </cell>
          <cell r="H88">
            <v>8.0668329674801417E-7</v>
          </cell>
          <cell r="I88"/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3.1155395762804752E-2</v>
          </cell>
          <cell r="E89">
            <v>4.3493834313264772E-3</v>
          </cell>
          <cell r="F89">
            <v>1.9705469481871138E-4</v>
          </cell>
          <cell r="G89"/>
          <cell r="H89">
            <v>9.1194893943377837E-4</v>
          </cell>
          <cell r="I89"/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3.131208761878107E-2</v>
          </cell>
          <cell r="E90">
            <v>4.3635304466956761E-3</v>
          </cell>
          <cell r="F90">
            <v>4.1011536322722508E-3</v>
          </cell>
          <cell r="G90">
            <v>1.3750395641450244E-2</v>
          </cell>
          <cell r="H90">
            <v>1.7819928535095957E-3</v>
          </cell>
          <cell r="I90">
            <v>5.7258839949331274E-4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3.560001170516788</v>
          </cell>
          <cell r="E91">
            <v>3.4647165621005938</v>
          </cell>
          <cell r="F91">
            <v>3.2255900287305095</v>
          </cell>
          <cell r="G91">
            <v>7.6323335700341402E-4</v>
          </cell>
          <cell r="H91">
            <v>3.336828852408488E-4</v>
          </cell>
          <cell r="I91">
            <v>9.5725429957025708E-5</v>
          </cell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330.012108506907</v>
          </cell>
          <cell r="E92">
            <v>321.17922530672502</v>
          </cell>
          <cell r="F92">
            <v>299.01219566331798</v>
          </cell>
          <cell r="G92">
            <v>7.0751732194216502E-2</v>
          </cell>
          <cell r="H92">
            <v>3.0932403461826699E-2</v>
          </cell>
          <cell r="I92">
            <v>8.8737473570162893E-3</v>
          </cell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3.560001170516788</v>
          </cell>
          <cell r="E93">
            <v>3.4647165621005938</v>
          </cell>
          <cell r="F93">
            <v>3.2255900287305095</v>
          </cell>
          <cell r="G93">
            <v>7.6323335700341402E-4</v>
          </cell>
          <cell r="H93">
            <v>3.336828852408488E-4</v>
          </cell>
          <cell r="I93">
            <v>9.5725429957025708E-5</v>
          </cell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2.1567162473446425E-3</v>
          </cell>
          <cell r="E94">
            <v>0.78035093345784934</v>
          </cell>
          <cell r="F94">
            <v>0.46124709684513576</v>
          </cell>
          <cell r="G94">
            <v>1.1583469440740919</v>
          </cell>
          <cell r="H94">
            <v>2.5840002633640928</v>
          </cell>
          <cell r="I94">
            <v>4.2470170528264957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2.1567162473446425E-3</v>
          </cell>
          <cell r="E95">
            <v>0.78035093345784934</v>
          </cell>
          <cell r="F95">
            <v>0.46124709684513576</v>
          </cell>
          <cell r="G95">
            <v>1.1583469440740919</v>
          </cell>
          <cell r="H95">
            <v>2.5840002633640928</v>
          </cell>
          <cell r="I95">
            <v>4.2470170528264957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2.75514845721469E-2</v>
          </cell>
          <cell r="E96">
            <v>2.7551483750120301E-2</v>
          </cell>
          <cell r="F96">
            <v>6.0128948415086106E-8</v>
          </cell>
          <cell r="G96">
            <v>2.66947438359567E-2</v>
          </cell>
          <cell r="H96">
            <v>1.9168615429142302E-2</v>
          </cell>
          <cell r="I96">
            <v>0.142786323989856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2.75514845721469E-2</v>
          </cell>
          <cell r="E97">
            <v>5.5102968322267201E-2</v>
          </cell>
          <cell r="F97">
            <v>5.5102844002694475E-2</v>
          </cell>
          <cell r="G97">
            <v>8.1797733767599121E-2</v>
          </cell>
          <cell r="H97">
            <v>0.18247107554216027</v>
          </cell>
          <cell r="I97">
            <v>0.29989924365773418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4.6280272631115205</v>
          </cell>
          <cell r="E98">
            <v>1.79222758101095</v>
          </cell>
          <cell r="F98">
            <v>3.7035354946782111E-2</v>
          </cell>
          <cell r="G98">
            <v>1.2778782641306123E-2</v>
          </cell>
          <cell r="H98">
            <v>4.1922811536043983E-3</v>
          </cell>
          <cell r="I98">
            <v>3.5901109463295803E-3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4.8716076453805508</v>
          </cell>
          <cell r="E99">
            <v>1.886555348432579</v>
          </cell>
          <cell r="F99">
            <v>4.0273847408980726E-2</v>
          </cell>
          <cell r="G99">
            <v>1.3772224914925125E-2</v>
          </cell>
          <cell r="H99">
            <v>4.4475790066498665E-3</v>
          </cell>
          <cell r="I99">
            <v>3.7873126187312816E-3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2.0149404970343501E-7</v>
          </cell>
          <cell r="E100">
            <v>1.5205228021766801E-7</v>
          </cell>
          <cell r="F100">
            <v>1.1959245629971299E-7</v>
          </cell>
          <cell r="G100">
            <v>2.1088150173997699E-7</v>
          </cell>
          <cell r="H100">
            <v>4.0417543017290798E-4</v>
          </cell>
          <cell r="I100">
            <v>7.3897729283788999E-6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0.3268013454423887</v>
          </cell>
          <cell r="E101">
            <v>0.20985171019263493</v>
          </cell>
          <cell r="F101">
            <v>4.561274752675204E-3</v>
          </cell>
          <cell r="G101">
            <v>1.6240448440259514E-3</v>
          </cell>
          <cell r="H101">
            <v>4.1863143586900418E-4</v>
          </cell>
          <cell r="I101">
            <v>3.0662041992394551E-4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2.5574594187970658E-3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2.5574594187970658E-3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2.5832923422192608E-3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2.5121133505962403E-4</v>
          </cell>
          <cell r="F105">
            <v>1.7849270553347801E-4</v>
          </cell>
          <cell r="G105">
            <v>7.8742732510138202E-3</v>
          </cell>
          <cell r="H105">
            <v>1.0080822283360999E-2</v>
          </cell>
          <cell r="I105">
            <v>6.8931469710213199E-3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2.5121133505962403E-4</v>
          </cell>
          <cell r="F106">
            <v>2.48749853517014E-4</v>
          </cell>
          <cell r="G106">
            <v>8.0489574287002669E-3</v>
          </cell>
          <cell r="H106">
            <v>2.2437897628747219E-2</v>
          </cell>
          <cell r="I106">
            <v>1.330937640148141E-2</v>
          </cell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2.2773021575922983E-3</v>
          </cell>
          <cell r="E107">
            <v>1.2154097971728068</v>
          </cell>
          <cell r="F107">
            <v>0.74460646341292358</v>
          </cell>
          <cell r="G107">
            <v>1.2153757147964721</v>
          </cell>
          <cell r="H107">
            <v>4.0245731170650858</v>
          </cell>
          <cell r="I107">
            <v>6.6148201924273913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2.2773021575922983E-3</v>
          </cell>
          <cell r="E108">
            <v>1.2154097971728068</v>
          </cell>
          <cell r="F108">
            <v>0.74460646341292358</v>
          </cell>
          <cell r="G108">
            <v>1.2153757147964721</v>
          </cell>
          <cell r="H108">
            <v>4.0245731170650858</v>
          </cell>
          <cell r="I108">
            <v>6.6148201924273913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4.2912024547868403E-2</v>
          </cell>
          <cell r="E109">
            <v>4.2912023183019801E-2</v>
          </cell>
          <cell r="F109">
            <v>4.8243585872159202E-8</v>
          </cell>
          <cell r="G109">
            <v>7.4105332148779797E-7</v>
          </cell>
          <cell r="H109">
            <v>0.12673034651486401</v>
          </cell>
          <cell r="I109">
            <v>0.22239895151462899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4.2912024547868403E-2</v>
          </cell>
          <cell r="E110">
            <v>8.5824047730888198E-2</v>
          </cell>
          <cell r="F110">
            <v>8.5823909679712068E-2</v>
          </cell>
          <cell r="G110">
            <v>8.5824797925032559E-2</v>
          </cell>
          <cell r="H110">
            <v>0.28419512258320123</v>
          </cell>
          <cell r="I110">
            <v>0.46709817886513455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2.1115970514189891E-3</v>
          </cell>
          <cell r="E111">
            <v>5.7551233032587278E-5</v>
          </cell>
          <cell r="F111">
            <v>7.4637272340853113E-4</v>
          </cell>
          <cell r="G111">
            <v>0.30404990608737231</v>
          </cell>
          <cell r="H111">
            <v>1.1307081925031832</v>
          </cell>
          <cell r="I111">
            <v>0.22920603441387735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5.9505277089085175E-6</v>
          </cell>
          <cell r="E112">
            <v>8.6123986581679632E-6</v>
          </cell>
          <cell r="F112">
            <v>7.5741860863360012E-7</v>
          </cell>
          <cell r="G112">
            <v>7.0134478330437274E-5</v>
          </cell>
          <cell r="H112">
            <v>3.7038226560358442E-4</v>
          </cell>
          <cell r="I112"/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8.6476026472917876E-6</v>
          </cell>
          <cell r="E113">
            <v>3.4088726436175599E-6</v>
          </cell>
          <cell r="F113">
            <v>8.1510287495215978E-7</v>
          </cell>
          <cell r="G113"/>
          <cell r="H113">
            <v>2.2412571845060639E-4</v>
          </cell>
          <cell r="I113"/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6.6369643506328545E-6</v>
          </cell>
          <cell r="E114">
            <v>7.7360085429784891E-6</v>
          </cell>
          <cell r="F114">
            <v>1.569667657263098E-6</v>
          </cell>
          <cell r="G114">
            <v>5.1621270866248585E-5</v>
          </cell>
          <cell r="H114">
            <v>1.5287470503927626E-4</v>
          </cell>
          <cell r="I114"/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5.268237361530535E-6</v>
          </cell>
          <cell r="E115">
            <v>3.8997119104315314E-6</v>
          </cell>
          <cell r="F115">
            <v>1.0201785240734636E-6</v>
          </cell>
          <cell r="G115"/>
          <cell r="H115">
            <v>1.9641189394090848E-4</v>
          </cell>
          <cell r="I115"/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1.4671074248700721E-3</v>
          </cell>
          <cell r="E116">
            <v>8.6599469911450143E-6</v>
          </cell>
          <cell r="F116">
            <v>1.2221422118599771E-5</v>
          </cell>
          <cell r="G116">
            <v>7.6294123798094804E-2</v>
          </cell>
          <cell r="H116">
            <v>0.58143790860121902</v>
          </cell>
          <cell r="I116">
            <v>0.22920603441387735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9.170569858656916E-6</v>
          </cell>
          <cell r="E117">
            <v>1.0374269673711299E-5</v>
          </cell>
          <cell r="F117">
            <v>2.6857553360042898E-5</v>
          </cell>
          <cell r="G117">
            <v>0.227634026540081</v>
          </cell>
          <cell r="H117">
            <v>0.54699678843854616</v>
          </cell>
          <cell r="I117"/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6.014474075962293E-4</v>
          </cell>
          <cell r="E118">
            <v>4.9442341697133337E-6</v>
          </cell>
          <cell r="F118">
            <v>1.9705469481871138E-4</v>
          </cell>
          <cell r="G118"/>
          <cell r="H118">
            <v>9.1194893943377837E-4</v>
          </cell>
          <cell r="I118"/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7.3683170256672998E-6</v>
          </cell>
          <cell r="E119">
            <v>9.915790442822108E-6</v>
          </cell>
          <cell r="F119">
            <v>5.0607668544625428E-4</v>
          </cell>
          <cell r="G119"/>
          <cell r="H119">
            <v>4.1775194095051066E-4</v>
          </cell>
          <cell r="I119"/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7.8304911609607694E-5</v>
          </cell>
          <cell r="H120">
            <v>4.3613322466800797E-5</v>
          </cell>
          <cell r="I120">
            <v>2.54467372658959E-5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7.8304911609607694E-5</v>
          </cell>
          <cell r="H121">
            <v>8.0956333355333004E-5</v>
          </cell>
          <cell r="I121">
            <v>4.22001508392231E-5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5.9505277089085175E-6</v>
          </cell>
          <cell r="E122">
            <v>8.6123986581679632E-6</v>
          </cell>
          <cell r="F122">
            <v>7.5741860863360012E-7</v>
          </cell>
          <cell r="G122">
            <v>7.0134478330437274E-5</v>
          </cell>
          <cell r="H122">
            <v>3.7038226560358442E-4</v>
          </cell>
          <cell r="I122"/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5.4854358303412482E-6</v>
          </cell>
          <cell r="E123">
            <v>4.3044818599476761E-6</v>
          </cell>
          <cell r="F123">
            <v>5.0843913673174837E-6</v>
          </cell>
          <cell r="G123">
            <v>1.2510987615056335E-3</v>
          </cell>
          <cell r="H123">
            <v>3.7361262711903639E-4</v>
          </cell>
          <cell r="I123">
            <v>3.7830973090108826E-4</v>
          </cell>
          <cell r="J123"/>
          <cell r="K123"/>
        </row>
        <row r="124">
          <cell r="A124" t="str">
            <v>D-RHEM_LTH_CHPWOD</v>
          </cell>
          <cell r="B124" t="str">
            <v>VAR_fin</v>
          </cell>
          <cell r="C124" t="str">
            <v>RHEM_LTH_CHPWOD</v>
          </cell>
          <cell r="D124">
            <v>1.1435963539249774E-5</v>
          </cell>
          <cell r="E124">
            <v>1.3207917752090414E-5</v>
          </cell>
          <cell r="F124">
            <v>6.1290995962308124E-6</v>
          </cell>
          <cell r="G124">
            <v>1.3220842339987217E-3</v>
          </cell>
          <cell r="H124">
            <v>7.4497962881487484E-4</v>
          </cell>
          <cell r="I124">
            <v>3.7907401517305771E-4</v>
          </cell>
          <cell r="J124"/>
          <cell r="K124"/>
        </row>
        <row r="125">
          <cell r="A125" t="str">
            <v>RHES-SHLTHDH</v>
          </cell>
          <cell r="B125" t="str">
            <v>VAR_fout</v>
          </cell>
          <cell r="C125" t="str">
            <v>RHES-SHLTHD</v>
          </cell>
          <cell r="D125">
            <v>3.1532172866170711</v>
          </cell>
          <cell r="E125">
            <v>3.503801807579944</v>
          </cell>
          <cell r="F125">
            <v>1.4170686360403077</v>
          </cell>
          <cell r="G125">
            <v>1.5664970652009425</v>
          </cell>
          <cell r="H125">
            <v>1.5979081972202396</v>
          </cell>
          <cell r="I125">
            <v>1.5726399534157289</v>
          </cell>
          <cell r="J125"/>
          <cell r="K125"/>
        </row>
        <row r="126">
          <cell r="A126" t="str">
            <v>RHES-SHLTHDH</v>
          </cell>
          <cell r="B126" t="str">
            <v>VAR_fin</v>
          </cell>
          <cell r="C126" t="str">
            <v>RHESLTHDHC</v>
          </cell>
          <cell r="D126">
            <v>3.1532172866170711</v>
          </cell>
          <cell r="E126">
            <v>3.503801807579944</v>
          </cell>
          <cell r="F126">
            <v>1.4170686360403077</v>
          </cell>
          <cell r="G126">
            <v>1.5664970652009425</v>
          </cell>
          <cell r="H126">
            <v>1.5979081972202396</v>
          </cell>
          <cell r="I126">
            <v>1.5726399534157289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RHES_LTH_DH</v>
          </cell>
          <cell r="D127">
            <v>3.1850679662798727</v>
          </cell>
          <cell r="E127">
            <v>3.5391937450302464</v>
          </cell>
          <cell r="F127">
            <v>1.5877871172095721</v>
          </cell>
          <cell r="G127">
            <v>1.7443418027437194</v>
          </cell>
          <cell r="H127">
            <v>1.7649093432338567</v>
          </cell>
          <cell r="I127">
            <v>1.724214121180766</v>
          </cell>
          <cell r="J127"/>
        </row>
        <row r="128">
          <cell r="A128" t="str">
            <v>RHES-SHLTHDH</v>
          </cell>
          <cell r="B128" t="str">
            <v>VAR_ncap</v>
          </cell>
          <cell r="C128" t="str">
            <v>-</v>
          </cell>
          <cell r="D128"/>
          <cell r="E128">
            <v>1.6534457653689098E-2</v>
          </cell>
          <cell r="F128">
            <v>1.2359160836867699E-2</v>
          </cell>
          <cell r="G128">
            <v>1.48008450802459E-2</v>
          </cell>
          <cell r="H128">
            <v>1.0113213265704701E-2</v>
          </cell>
          <cell r="I128">
            <v>5.3632582019535802E-2</v>
          </cell>
          <cell r="J128"/>
          <cell r="K128"/>
        </row>
        <row r="129">
          <cell r="A129" t="str">
            <v>RHES-SHLTHDH</v>
          </cell>
          <cell r="B129" t="str">
            <v>VAR_cap</v>
          </cell>
          <cell r="C129" t="str">
            <v>-</v>
          </cell>
          <cell r="D129">
            <v>0.31204626794151202</v>
          </cell>
          <cell r="E129">
            <v>0.31359871657281585</v>
          </cell>
          <cell r="F129">
            <v>0.14889041211174084</v>
          </cell>
          <cell r="G129">
            <v>0.15199743613742273</v>
          </cell>
          <cell r="H129">
            <v>0.1350972208321711</v>
          </cell>
          <cell r="I129">
            <v>0.17398064170847</v>
          </cell>
          <cell r="J129"/>
          <cell r="K129"/>
          <cell r="L129"/>
          <cell r="M129"/>
        </row>
        <row r="130">
          <cell r="A130" t="str">
            <v>RHEM-SHCONBR3</v>
          </cell>
          <cell r="B130" t="str">
            <v>VAR_fout</v>
          </cell>
          <cell r="C130" t="str">
            <v>RHEM-SHCON</v>
          </cell>
          <cell r="D130">
            <v>2.2152243989112972E-3</v>
          </cell>
          <cell r="E130">
            <v>0.97662723940190022</v>
          </cell>
          <cell r="F130">
            <v>0.58943714623231835</v>
          </cell>
          <cell r="G130">
            <v>0.97658459503611117</v>
          </cell>
          <cell r="H130">
            <v>0.97654559794729701</v>
          </cell>
          <cell r="I130">
            <v>1.3780352452720128</v>
          </cell>
          <cell r="J130"/>
          <cell r="K130"/>
        </row>
        <row r="131">
          <cell r="A131" t="str">
            <v>RHEM-SHCONBR3</v>
          </cell>
          <cell r="B131" t="str">
            <v>VAR_fin</v>
          </cell>
          <cell r="C131" t="str">
            <v>CON</v>
          </cell>
          <cell r="D131">
            <v>2.2152243989112972E-3</v>
          </cell>
          <cell r="E131">
            <v>0.97662723940190022</v>
          </cell>
          <cell r="F131">
            <v>0.58943714623231835</v>
          </cell>
          <cell r="G131">
            <v>0.97658459503611117</v>
          </cell>
          <cell r="H131">
            <v>0.97654559794729701</v>
          </cell>
          <cell r="I131">
            <v>1.3780352452720128</v>
          </cell>
          <cell r="J131"/>
        </row>
        <row r="132">
          <cell r="A132" t="str">
            <v>RHEM-SHCONBR3</v>
          </cell>
          <cell r="B132" t="str">
            <v>VAR_ncap</v>
          </cell>
          <cell r="C132" t="str">
            <v>-</v>
          </cell>
          <cell r="D132">
            <v>3.4481377686504597E-2</v>
          </cell>
          <cell r="E132">
            <v>3.4481372230318399E-2</v>
          </cell>
          <cell r="F132">
            <v>1.2576321244426199E-8</v>
          </cell>
          <cell r="G132">
            <v>2.3577585813535399E-8</v>
          </cell>
          <cell r="H132">
            <v>9.2162129280296894E-8</v>
          </cell>
          <cell r="I132">
            <v>6.0082994238666101E-2</v>
          </cell>
          <cell r="J132"/>
          <cell r="K132"/>
        </row>
        <row r="133">
          <cell r="A133" t="str">
            <v>RHEM-SHCONBR3</v>
          </cell>
          <cell r="B133" t="str">
            <v>VAR_cap</v>
          </cell>
          <cell r="C133" t="str">
            <v>-</v>
          </cell>
          <cell r="D133">
            <v>3.4481377686504597E-2</v>
          </cell>
          <cell r="E133">
            <v>6.8962749916823093E-2</v>
          </cell>
          <cell r="F133">
            <v>6.8962577589849028E-2</v>
          </cell>
          <cell r="G133">
            <v>6.8962748538262633E-2</v>
          </cell>
          <cell r="H133">
            <v>6.896281433519412E-2</v>
          </cell>
          <cell r="I133">
            <v>9.7309453385757555E-2</v>
          </cell>
          <cell r="J133"/>
        </row>
        <row r="134">
          <cell r="A134" t="str">
            <v>D-RHSA_ELC</v>
          </cell>
          <cell r="B134" t="str">
            <v>VAR_fout</v>
          </cell>
          <cell r="C134" t="str">
            <v>RHSA_ELC</v>
          </cell>
          <cell r="D134">
            <v>55.868836540169561</v>
          </cell>
          <cell r="E134">
            <v>55.084115753626421</v>
          </cell>
          <cell r="F134">
            <v>59.210526978268327</v>
          </cell>
          <cell r="G134">
            <v>60.768232734217591</v>
          </cell>
          <cell r="H134">
            <v>69.457592097838543</v>
          </cell>
          <cell r="I134">
            <v>70.829684301181544</v>
          </cell>
          <cell r="J134"/>
          <cell r="K134"/>
        </row>
        <row r="135">
          <cell r="A135" t="str">
            <v>D-RHSA_ELC</v>
          </cell>
          <cell r="B135" t="str">
            <v>VAR_fin</v>
          </cell>
          <cell r="C135" t="str">
            <v>RHNS_ELC</v>
          </cell>
          <cell r="D135">
            <v>14.361159435708563</v>
          </cell>
          <cell r="E135">
            <v>14.710764727736775</v>
          </cell>
          <cell r="F135">
            <v>15.147798955881203</v>
          </cell>
          <cell r="G135">
            <v>15.453000858732368</v>
          </cell>
          <cell r="H135">
            <v>17.543346918359546</v>
          </cell>
          <cell r="I135">
            <v>18.130341723769117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RHES_ELC</v>
          </cell>
          <cell r="D136">
            <v>16.086004838827826</v>
          </cell>
          <cell r="E136">
            <v>12.700621247954748</v>
          </cell>
          <cell r="F136">
            <v>13.912680331471863</v>
          </cell>
          <cell r="G136">
            <v>14.543105844188121</v>
          </cell>
          <cell r="H136">
            <v>16.352441351334406</v>
          </cell>
          <cell r="I136">
            <v>15.963428432803363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RHNM_ELC</v>
          </cell>
          <cell r="D137">
            <v>10.003895196121327</v>
          </cell>
          <cell r="E137">
            <v>14.697715146166892</v>
          </cell>
          <cell r="F137">
            <v>15.692091893144656</v>
          </cell>
          <cell r="G137">
            <v>16.127344124682196</v>
          </cell>
          <cell r="H137">
            <v>18.712519333713093</v>
          </cell>
          <cell r="I137">
            <v>19.337913159861806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RHEM_ELC</v>
          </cell>
          <cell r="D138">
            <v>15.417784984804095</v>
          </cell>
          <cell r="E138">
            <v>12.975017032450113</v>
          </cell>
          <cell r="F138">
            <v>14.457971691217027</v>
          </cell>
          <cell r="G138">
            <v>14.644787623224712</v>
          </cell>
          <cell r="H138">
            <v>16.849279506573062</v>
          </cell>
          <cell r="I138">
            <v>17.397997902570797</v>
          </cell>
          <cell r="J138"/>
          <cell r="K138"/>
        </row>
        <row r="139">
          <cell r="A139" t="str">
            <v>SCOM-SHLTHDH</v>
          </cell>
          <cell r="B139" t="str">
            <v>VAR_fout</v>
          </cell>
          <cell r="C139" t="str">
            <v>SCOM-SHLTHD</v>
          </cell>
          <cell r="D139">
            <v>5.5539019416345949</v>
          </cell>
          <cell r="E139">
            <v>6.0159365552732629</v>
          </cell>
          <cell r="F139">
            <v>4.8782314423027771</v>
          </cell>
          <cell r="G139">
            <v>5.6120019375571957</v>
          </cell>
          <cell r="H139">
            <v>6.1491462745810876</v>
          </cell>
          <cell r="I139">
            <v>6.2811085737934098</v>
          </cell>
          <cell r="J139"/>
          <cell r="K139"/>
        </row>
        <row r="140">
          <cell r="A140" t="str">
            <v>SCOM-SHLTHDH</v>
          </cell>
          <cell r="B140" t="str">
            <v>VAR_fin</v>
          </cell>
          <cell r="C140" t="str">
            <v>SCOMLTHDHC</v>
          </cell>
          <cell r="D140">
            <v>5.5539019416345949</v>
          </cell>
          <cell r="E140">
            <v>6.0159365552732629</v>
          </cell>
          <cell r="F140">
            <v>4.8782314423027771</v>
          </cell>
          <cell r="G140">
            <v>5.6120019375571957</v>
          </cell>
          <cell r="H140">
            <v>6.1491462745810876</v>
          </cell>
          <cell r="I140">
            <v>6.2811085737934098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SCOM_LTH_DH</v>
          </cell>
          <cell r="D141">
            <v>5.6100019612470629</v>
          </cell>
          <cell r="E141">
            <v>6.0767035911851108</v>
          </cell>
          <cell r="F141">
            <v>5.927329426930628</v>
          </cell>
          <cell r="G141">
            <v>6.7886448761595863</v>
          </cell>
          <cell r="H141">
            <v>7.4384098249013153</v>
          </cell>
          <cell r="I141">
            <v>7.598040059595057</v>
          </cell>
          <cell r="J141"/>
          <cell r="K141"/>
        </row>
        <row r="142">
          <cell r="A142" t="str">
            <v>SCOM-SHLTHDH</v>
          </cell>
          <cell r="B142" t="str">
            <v>VAR_ncap</v>
          </cell>
          <cell r="C142" t="str">
            <v>-</v>
          </cell>
          <cell r="D142"/>
          <cell r="E142">
            <v>1.8308268969660299E-2</v>
          </cell>
          <cell r="F142">
            <v>1.9520051482354701E-2</v>
          </cell>
          <cell r="G142">
            <v>0.10361738073707601</v>
          </cell>
          <cell r="H142">
            <v>0.19248895255901499</v>
          </cell>
          <cell r="I142">
            <v>0.46749522719861297</v>
          </cell>
          <cell r="J142"/>
          <cell r="K142"/>
        </row>
        <row r="143">
          <cell r="A143" t="str">
            <v>SCOM-SHLTHDH</v>
          </cell>
          <cell r="B143" t="str">
            <v>VAR_cap</v>
          </cell>
          <cell r="C143" t="str">
            <v>-</v>
          </cell>
          <cell r="D143">
            <v>0.84970025293020501</v>
          </cell>
          <cell r="E143">
            <v>0.84958672118082079</v>
          </cell>
          <cell r="F143">
            <v>0.593896251371547</v>
          </cell>
          <cell r="G143">
            <v>0.68382819293324093</v>
          </cell>
          <cell r="H143">
            <v>0.84969889872298421</v>
          </cell>
          <cell r="I143">
            <v>0.84969955387113405</v>
          </cell>
          <cell r="J143"/>
          <cell r="K143"/>
        </row>
        <row r="144">
          <cell r="A144" t="str">
            <v>ITOT-SWHSTG-ELC</v>
          </cell>
          <cell r="B144" t="str">
            <v>VAR_fout</v>
          </cell>
          <cell r="C144" t="str">
            <v>ITOT-SWHAELC</v>
          </cell>
          <cell r="D144">
            <v>1.0219873260694117E-5</v>
          </cell>
          <cell r="E144">
            <v>9.5261750728601041E-6</v>
          </cell>
          <cell r="F144">
            <v>0.2893804099479117</v>
          </cell>
          <cell r="G144">
            <v>0.17963006091345468</v>
          </cell>
          <cell r="H144">
            <v>0.46465711830505518</v>
          </cell>
          <cell r="I144">
            <v>1.0523435814544204</v>
          </cell>
          <cell r="J144"/>
          <cell r="K144"/>
        </row>
        <row r="145">
          <cell r="A145" t="str">
            <v>ITOT-SWHSTG-ELC</v>
          </cell>
          <cell r="B145" t="str">
            <v>VAR_fin</v>
          </cell>
          <cell r="C145" t="str">
            <v>ITOT-SWHAELC</v>
          </cell>
          <cell r="D145">
            <v>9.6950603427513979E-6</v>
          </cell>
          <cell r="E145">
            <v>5.9098218500282934E-6</v>
          </cell>
          <cell r="F145">
            <v>0.37345018073757241</v>
          </cell>
          <cell r="G145">
            <v>0.22457769701316171</v>
          </cell>
          <cell r="H145">
            <v>0.54671179475460308</v>
          </cell>
          <cell r="I145">
            <v>1.1693340763170266</v>
          </cell>
          <cell r="J145"/>
          <cell r="K145"/>
        </row>
        <row r="146">
          <cell r="A146" t="str">
            <v>ITOT-SWHSTG-ELC</v>
          </cell>
          <cell r="B146" t="str">
            <v>VAR_ncap</v>
          </cell>
          <cell r="C146" t="str">
            <v>-</v>
          </cell>
          <cell r="D146">
            <v>7.1786083653021301E-4</v>
          </cell>
          <cell r="E146">
            <v>0.17337275386981699</v>
          </cell>
          <cell r="F146">
            <v>2.1410709259100099E-2</v>
          </cell>
          <cell r="G146">
            <v>5.3074625731034297E-4</v>
          </cell>
          <cell r="H146">
            <v>0.12840238744677701</v>
          </cell>
          <cell r="I146">
            <v>8.3409612013435705E-2</v>
          </cell>
          <cell r="J146"/>
          <cell r="K146"/>
        </row>
        <row r="147">
          <cell r="A147" t="str">
            <v>ITOT-SWHSTG-ELC</v>
          </cell>
          <cell r="B147" t="str">
            <v>VAR_cap</v>
          </cell>
          <cell r="C147" t="str">
            <v>-</v>
          </cell>
          <cell r="D147">
            <v>7.1786083653021301E-4</v>
          </cell>
          <cell r="E147">
            <v>0.17409002422851086</v>
          </cell>
          <cell r="F147">
            <v>0.1955002413375847</v>
          </cell>
          <cell r="G147">
            <v>0.19603082211479297</v>
          </cell>
          <cell r="H147">
            <v>0.25424254406947638</v>
          </cell>
          <cell r="I147">
            <v>0.228066852172713</v>
          </cell>
          <cell r="J147"/>
          <cell r="K147"/>
        </row>
        <row r="148">
          <cell r="A148" t="str">
            <v>D-SCOM_SOLELC</v>
          </cell>
          <cell r="B148" t="str">
            <v>VAR_fout</v>
          </cell>
          <cell r="C148" t="str">
            <v>ELC5</v>
          </cell>
          <cell r="D148">
            <v>0.31027127608123806</v>
          </cell>
          <cell r="E148">
            <v>1.5973994400001377</v>
          </cell>
          <cell r="F148">
            <v>3.6143176829858095</v>
          </cell>
          <cell r="G148">
            <v>4.0515435547522349</v>
          </cell>
          <cell r="H148">
            <v>4.5162389847062299</v>
          </cell>
          <cell r="I148">
            <v>4.8980472938201256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SCOM_ELC</v>
          </cell>
          <cell r="D149">
            <v>2.5293524096907265</v>
          </cell>
          <cell r="E149">
            <v>1.6970556400286612</v>
          </cell>
          <cell r="F149">
            <v>3.218080422704181</v>
          </cell>
          <cell r="G149">
            <v>3.8964704375376056</v>
          </cell>
          <cell r="H149">
            <v>4.2633142808442575</v>
          </cell>
          <cell r="I149">
            <v>4.8000416805943464</v>
          </cell>
          <cell r="J149"/>
          <cell r="K149"/>
        </row>
        <row r="150">
          <cell r="A150" t="str">
            <v>D-SCOM_SOLELC</v>
          </cell>
          <cell r="B150" t="str">
            <v>VAR_fin</v>
          </cell>
          <cell r="C150" t="str">
            <v>SCOM_SOL_ELC</v>
          </cell>
          <cell r="D150">
            <v>2.8396236857719668</v>
          </cell>
          <cell r="E150">
            <v>3.2944551119704646</v>
          </cell>
          <cell r="F150">
            <v>6.8323981056899878</v>
          </cell>
          <cell r="G150">
            <v>7.9480117706131743</v>
          </cell>
          <cell r="H150">
            <v>8.7795508224671206</v>
          </cell>
          <cell r="I150">
            <v>9.6980869845127362</v>
          </cell>
          <cell r="J150"/>
          <cell r="K150"/>
        </row>
        <row r="151">
          <cell r="A151" t="str">
            <v>D-ILFO</v>
          </cell>
          <cell r="B151" t="str">
            <v>VAR_fout</v>
          </cell>
          <cell r="C151" t="str">
            <v>CO2</v>
          </cell>
          <cell r="D151">
            <v>688.83966310621599</v>
          </cell>
          <cell r="E151">
            <v>651.14210038778594</v>
          </cell>
          <cell r="F151">
            <v>615.94043171897795</v>
          </cell>
          <cell r="G151">
            <v>536.08612624866896</v>
          </cell>
          <cell r="H151">
            <v>228.26199883879201</v>
          </cell>
          <cell r="I151">
            <v>4.1372729307139399E-3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ILFO</v>
          </cell>
          <cell r="D152">
            <v>9.1904374214621267</v>
          </cell>
          <cell r="E152">
            <v>8.6874798978737218</v>
          </cell>
          <cell r="F152">
            <v>8.2178968542254989</v>
          </cell>
          <cell r="G152">
            <v>7.1524881253745889</v>
          </cell>
          <cell r="H152">
            <v>3.4351916203274815</v>
          </cell>
          <cell r="I152">
            <v>0.38981635006274257</v>
          </cell>
          <cell r="J152"/>
          <cell r="K152"/>
        </row>
        <row r="153">
          <cell r="A153" t="str">
            <v>D-ILFO</v>
          </cell>
          <cell r="B153" t="str">
            <v>VAR_fin</v>
          </cell>
          <cell r="C153" t="str">
            <v>LFO</v>
          </cell>
          <cell r="D153">
            <v>9.3465354559866434</v>
          </cell>
          <cell r="E153">
            <v>8.8350352834163584</v>
          </cell>
          <cell r="F153">
            <v>8.3574007017500449</v>
          </cell>
          <cell r="G153">
            <v>7.2738958785436711</v>
          </cell>
          <cell r="H153">
            <v>3.0971777318696305</v>
          </cell>
          <cell r="I153">
            <v>5.6136674772238003E-5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BDS</v>
          </cell>
          <cell r="D154"/>
          <cell r="E154"/>
          <cell r="F154">
            <v>7.5748967145162872E-5</v>
          </cell>
          <cell r="G154">
            <v>7.7699993835020345E-5</v>
          </cell>
          <cell r="H154">
            <v>0.39636134896996539</v>
          </cell>
          <cell r="I154">
            <v>0.3963819583533586</v>
          </cell>
          <cell r="J154"/>
        </row>
        <row r="155">
          <cell r="A155" t="str">
            <v>RHEM-SHSTG-NGAHP</v>
          </cell>
          <cell r="B155" t="str">
            <v>VAR_fout</v>
          </cell>
          <cell r="C155" t="str">
            <v>RHEM-SHANGAH</v>
          </cell>
          <cell r="D155"/>
          <cell r="E155"/>
          <cell r="F155">
            <v>5.7135817824184656E-3</v>
          </cell>
          <cell r="G155">
            <v>2.9088087695294364E-3</v>
          </cell>
          <cell r="H155">
            <v>3.9059329780748398E-3</v>
          </cell>
          <cell r="I155">
            <v>0.22447434513507966</v>
          </cell>
          <cell r="J155"/>
        </row>
        <row r="156">
          <cell r="A156" t="str">
            <v>RHEM-SHSTG-NGAHP</v>
          </cell>
          <cell r="B156" t="str">
            <v>VAR_fin</v>
          </cell>
          <cell r="C156" t="str">
            <v>RHEM-SHANGAH</v>
          </cell>
          <cell r="D156"/>
          <cell r="E156"/>
          <cell r="F156">
            <v>5.7190484000716269E-3</v>
          </cell>
          <cell r="G156">
            <v>2.9150299732900197E-3</v>
          </cell>
          <cell r="H156">
            <v>3.9112561327901323E-3</v>
          </cell>
          <cell r="I156">
            <v>0.22448317983657051</v>
          </cell>
          <cell r="J156"/>
          <cell r="K156"/>
        </row>
        <row r="157">
          <cell r="A157" t="str">
            <v>RHEM-SHSTG-NGAHP</v>
          </cell>
          <cell r="B157" t="str">
            <v>VAR_ncap</v>
          </cell>
          <cell r="C157" t="str">
            <v>-</v>
          </cell>
          <cell r="D157">
            <v>6.1591750026484096E-6</v>
          </cell>
          <cell r="E157">
            <v>2.59605830383077E-6</v>
          </cell>
          <cell r="F157">
            <v>3.3714525307030299E-2</v>
          </cell>
          <cell r="G157">
            <v>3.6891092406534702E-2</v>
          </cell>
          <cell r="H157">
            <v>5.79412399311783E-2</v>
          </cell>
          <cell r="I157">
            <v>9.8209899366807907E-2</v>
          </cell>
          <cell r="J157"/>
        </row>
        <row r="158">
          <cell r="A158" t="str">
            <v>RHEM-SHSTG-NGAHP</v>
          </cell>
          <cell r="B158" t="str">
            <v>VAR_cap</v>
          </cell>
          <cell r="C158" t="str">
            <v>-</v>
          </cell>
          <cell r="D158">
            <v>6.1591750026484096E-6</v>
          </cell>
          <cell r="E158">
            <v>4.2733431515082881E-7</v>
          </cell>
          <cell r="F158">
            <v>3.3713223701589912E-2</v>
          </cell>
          <cell r="G158">
            <v>7.0599839050135588E-2</v>
          </cell>
          <cell r="H158">
            <v>0.11173872957844941</v>
          </cell>
          <cell r="I158">
            <v>0.14982475503612011</v>
          </cell>
          <cell r="J158"/>
        </row>
        <row r="159">
          <cell r="A159" t="str">
            <v>RHEM-SHCONBR4</v>
          </cell>
          <cell r="B159" t="str">
            <v>VAR_fout</v>
          </cell>
          <cell r="C159" t="str">
            <v>RHEM-SHCON</v>
          </cell>
          <cell r="D159">
            <v>2.2470744289120538E-3</v>
          </cell>
          <cell r="E159">
            <v>1.0739015362072906</v>
          </cell>
          <cell r="F159">
            <v>0.64740409269698151</v>
          </cell>
          <cell r="G159">
            <v>1.0738587989590493</v>
          </cell>
          <cell r="H159">
            <v>1.073818981228682</v>
          </cell>
          <cell r="I159">
            <v>0.57967374393908644</v>
          </cell>
          <cell r="J159"/>
          <cell r="K159"/>
        </row>
        <row r="160">
          <cell r="A160" t="str">
            <v>RHEM-SHCONBR4</v>
          </cell>
          <cell r="B160" t="str">
            <v>VAR_fin</v>
          </cell>
          <cell r="C160" t="str">
            <v>CON</v>
          </cell>
          <cell r="D160">
            <v>2.2470744289120538E-3</v>
          </cell>
          <cell r="E160">
            <v>1.0739015362072906</v>
          </cell>
          <cell r="F160">
            <v>0.64740409269698151</v>
          </cell>
          <cell r="G160">
            <v>1.0738587989590493</v>
          </cell>
          <cell r="H160">
            <v>1.073818981228682</v>
          </cell>
          <cell r="I160">
            <v>0.57967374393908644</v>
          </cell>
          <cell r="J160"/>
          <cell r="K160"/>
        </row>
        <row r="161">
          <cell r="A161" t="str">
            <v>RHEM-SHCONBR4</v>
          </cell>
          <cell r="B161" t="str">
            <v>VAR_ncap</v>
          </cell>
          <cell r="C161" t="str">
            <v>-</v>
          </cell>
          <cell r="D161">
            <v>3.7915786604721197E-2</v>
          </cell>
          <cell r="E161">
            <v>3.7915843834439501E-2</v>
          </cell>
          <cell r="F161"/>
          <cell r="G161">
            <v>1.12183942509892E-8</v>
          </cell>
          <cell r="H161">
            <v>2.9759948886163401E-8</v>
          </cell>
          <cell r="I161">
            <v>6.2931848449656097E-8</v>
          </cell>
          <cell r="J161"/>
          <cell r="K161"/>
        </row>
        <row r="162">
          <cell r="A162" t="str">
            <v>RHEM-SHCONBR4</v>
          </cell>
          <cell r="B162" t="str">
            <v>VAR_cap</v>
          </cell>
          <cell r="C162" t="str">
            <v>-</v>
          </cell>
          <cell r="D162">
            <v>3.7915786604721197E-2</v>
          </cell>
          <cell r="E162">
            <v>7.5831630439160705E-2</v>
          </cell>
          <cell r="F162">
            <v>7.5831446124905041E-2</v>
          </cell>
          <cell r="G162">
            <v>7.5831604220974208E-2</v>
          </cell>
          <cell r="H162">
            <v>7.5831577719236598E-2</v>
          </cell>
          <cell r="I162">
            <v>4.0934253080872916E-2</v>
          </cell>
          <cell r="J162"/>
        </row>
        <row r="163">
          <cell r="A163" t="str">
            <v>RHNM-SHCONBR</v>
          </cell>
          <cell r="B163" t="str">
            <v>VAR_fout</v>
          </cell>
          <cell r="C163" t="str">
            <v>RHNM-SHCON</v>
          </cell>
          <cell r="D163"/>
          <cell r="E163"/>
          <cell r="F163">
            <v>5.3142296213488558E-4</v>
          </cell>
          <cell r="G163">
            <v>5.287812658650692E-4</v>
          </cell>
          <cell r="H163">
            <v>1.0264216767108175E-2</v>
          </cell>
          <cell r="I163">
            <v>0.13784092171313594</v>
          </cell>
          <cell r="J163"/>
        </row>
        <row r="164">
          <cell r="A164" t="str">
            <v>RHNM-SHCONBR</v>
          </cell>
          <cell r="B164" t="str">
            <v>VAR_fin</v>
          </cell>
          <cell r="C164" t="str">
            <v>CON</v>
          </cell>
          <cell r="D164"/>
          <cell r="E164"/>
          <cell r="F164">
            <v>5.3142296213488558E-4</v>
          </cell>
          <cell r="G164">
            <v>5.287812658650692E-4</v>
          </cell>
          <cell r="H164">
            <v>1.0264216767108175E-2</v>
          </cell>
          <cell r="I164">
            <v>0.13784092171313594</v>
          </cell>
          <cell r="J164"/>
          <cell r="K164"/>
        </row>
        <row r="165">
          <cell r="A165" t="str">
            <v>RHNM-SHCONBR</v>
          </cell>
          <cell r="B165" t="str">
            <v>VAR_ncap</v>
          </cell>
          <cell r="C165" t="str">
            <v>-</v>
          </cell>
          <cell r="D165"/>
          <cell r="E165">
            <v>1.4861405164151299E-8</v>
          </cell>
          <cell r="F165">
            <v>4.1867136954207297E-5</v>
          </cell>
          <cell r="G165">
            <v>4.3041891462129302E-8</v>
          </cell>
          <cell r="H165">
            <v>7.3717668238883205E-4</v>
          </cell>
          <cell r="I165">
            <v>9.8871793421652608E-3</v>
          </cell>
          <cell r="J165"/>
        </row>
        <row r="166">
          <cell r="A166" t="str">
            <v>RHNM-SHCONBR</v>
          </cell>
          <cell r="B166" t="str">
            <v>VAR_cap</v>
          </cell>
          <cell r="C166" t="str">
            <v>-</v>
          </cell>
          <cell r="D166"/>
          <cell r="E166">
            <v>1.4861405164151299E-8</v>
          </cell>
          <cell r="F166">
            <v>4.18819983593715E-5</v>
          </cell>
          <cell r="G166">
            <v>4.19250402508336E-5</v>
          </cell>
          <cell r="H166">
            <v>7.9655561119820761E-4</v>
          </cell>
          <cell r="I166">
            <v>1.06837659354426E-2</v>
          </cell>
          <cell r="J166"/>
          <cell r="K166"/>
        </row>
        <row r="167">
          <cell r="A167" t="str">
            <v>RHEM-SHCONBR5</v>
          </cell>
          <cell r="B167" t="str">
            <v>VAR_fout</v>
          </cell>
          <cell r="C167" t="str">
            <v>RHEM-SHCON</v>
          </cell>
          <cell r="D167">
            <v>2.1692507273796654E-3</v>
          </cell>
          <cell r="E167">
            <v>0.71620203511792013</v>
          </cell>
          <cell r="F167">
            <v>0.41827770834758859</v>
          </cell>
          <cell r="G167">
            <v>0.71615992386871408</v>
          </cell>
          <cell r="H167">
            <v>0.71612045780339395</v>
          </cell>
          <cell r="I167">
            <v>0.40478614173687355</v>
          </cell>
          <cell r="J167"/>
          <cell r="K167"/>
        </row>
        <row r="168">
          <cell r="A168" t="str">
            <v>RHEM-SHCONBR5</v>
          </cell>
          <cell r="B168" t="str">
            <v>VAR_fin</v>
          </cell>
          <cell r="C168" t="str">
            <v>CON</v>
          </cell>
          <cell r="D168">
            <v>2.1692507273796654E-3</v>
          </cell>
          <cell r="E168">
            <v>0.71620203511792013</v>
          </cell>
          <cell r="F168">
            <v>0.41827770834758859</v>
          </cell>
          <cell r="G168">
            <v>0.71615992386871408</v>
          </cell>
          <cell r="H168">
            <v>0.71612045780339395</v>
          </cell>
          <cell r="I168">
            <v>0.40478614173687355</v>
          </cell>
          <cell r="J168"/>
        </row>
        <row r="169">
          <cell r="A169" t="str">
            <v>RHEM-SHCONBR5</v>
          </cell>
          <cell r="B169" t="str">
            <v>VAR_ncap</v>
          </cell>
          <cell r="C169" t="str">
            <v>-</v>
          </cell>
          <cell r="D169">
            <v>8.5084779638396092E-3</v>
          </cell>
          <cell r="E169">
            <v>4.2064709799516799E-2</v>
          </cell>
          <cell r="F169"/>
          <cell r="G169">
            <v>1.00602414190507E-8</v>
          </cell>
          <cell r="H169">
            <v>2.5799312234844899E-8</v>
          </cell>
          <cell r="I169">
            <v>5.1515150713707801E-8</v>
          </cell>
          <cell r="J169"/>
          <cell r="K169"/>
        </row>
        <row r="170">
          <cell r="A170" t="str">
            <v>RHEM-SHCONBR5</v>
          </cell>
          <cell r="B170" t="str">
            <v>VAR_cap</v>
          </cell>
          <cell r="C170" t="str">
            <v>-</v>
          </cell>
          <cell r="D170">
            <v>8.5084779638396092E-3</v>
          </cell>
          <cell r="E170">
            <v>5.0573187763356398E-2</v>
          </cell>
          <cell r="F170">
            <v>5.0573006620099781E-2</v>
          </cell>
          <cell r="G170">
            <v>5.0573160893750725E-2</v>
          </cell>
          <cell r="H170">
            <v>5.0573129372053223E-2</v>
          </cell>
          <cell r="I170">
            <v>2.8584777610149228E-2</v>
          </cell>
          <cell r="J170"/>
        </row>
        <row r="171">
          <cell r="A171" t="str">
            <v>ITOT-SWHNGABR</v>
          </cell>
          <cell r="B171" t="str">
            <v>VAR_fout</v>
          </cell>
          <cell r="C171" t="str">
            <v>ITOT-SWH</v>
          </cell>
          <cell r="D171">
            <v>28.61976964699998</v>
          </cell>
          <cell r="E171">
            <v>25.49918177962854</v>
          </cell>
          <cell r="F171">
            <v>26.36821093356928</v>
          </cell>
          <cell r="G171">
            <v>24.840823396027435</v>
          </cell>
          <cell r="H171">
            <v>12.739168377607186</v>
          </cell>
          <cell r="I171">
            <v>6.6546885825279434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CO2_I</v>
          </cell>
          <cell r="D172">
            <v>2005.1532033982501</v>
          </cell>
          <cell r="E172">
            <v>1784.9567497073399</v>
          </cell>
          <cell r="F172">
            <v>1843.37111594659</v>
          </cell>
          <cell r="G172">
            <v>1732.80965567168</v>
          </cell>
          <cell r="H172">
            <v>884.784776566392</v>
          </cell>
          <cell r="I172">
            <v>460.197406774976</v>
          </cell>
          <cell r="J172"/>
        </row>
        <row r="173">
          <cell r="A173" t="str">
            <v>ITOT-SWHNGABR</v>
          </cell>
          <cell r="B173" t="str">
            <v>VAR_fin</v>
          </cell>
          <cell r="C173" t="str">
            <v>INGA</v>
          </cell>
          <cell r="D173">
            <v>35.552361762380237</v>
          </cell>
          <cell r="E173">
            <v>31.648169321052126</v>
          </cell>
          <cell r="F173">
            <v>32.683885034514041</v>
          </cell>
          <cell r="G173">
            <v>30.723575455171652</v>
          </cell>
          <cell r="H173">
            <v>15.687673343375751</v>
          </cell>
          <cell r="I173">
            <v>8.1595284889180029</v>
          </cell>
          <cell r="J173"/>
        </row>
        <row r="174">
          <cell r="A174" t="str">
            <v>ITOT-SWHNGABR</v>
          </cell>
          <cell r="B174" t="str">
            <v>VAR_ncap</v>
          </cell>
          <cell r="C174" t="str">
            <v>-</v>
          </cell>
          <cell r="D174"/>
          <cell r="E174">
            <v>8.8141916739680003E-6</v>
          </cell>
          <cell r="F174">
            <v>6.9961044947543102E-6</v>
          </cell>
          <cell r="G174">
            <v>6.4336528007750604E-6</v>
          </cell>
          <cell r="H174">
            <v>0.16830175416459101</v>
          </cell>
          <cell r="I174">
            <v>7.0855656193471601E-5</v>
          </cell>
          <cell r="J174"/>
        </row>
        <row r="175">
          <cell r="A175" t="str">
            <v>ITOT-SWHNGABR</v>
          </cell>
          <cell r="B175" t="str">
            <v>VAR_cap</v>
          </cell>
          <cell r="C175" t="str">
            <v>-</v>
          </cell>
          <cell r="D175">
            <v>1.556581895256</v>
          </cell>
          <cell r="E175">
            <v>1.5565775219542299</v>
          </cell>
          <cell r="F175">
            <v>1.5565657756163995</v>
          </cell>
          <cell r="G175">
            <v>1.5565328779072605</v>
          </cell>
          <cell r="H175">
            <v>0.87745230983528022</v>
          </cell>
          <cell r="I175">
            <v>0.42217278822082283</v>
          </cell>
          <cell r="J175"/>
        </row>
        <row r="176">
          <cell r="A176" t="str">
            <v>RHNM-SHSOLBR</v>
          </cell>
          <cell r="B176" t="str">
            <v>VAR_fout</v>
          </cell>
          <cell r="C176" t="str">
            <v>RHNM-SHASOL</v>
          </cell>
          <cell r="D176"/>
          <cell r="E176">
            <v>2.1538515729160986E-2</v>
          </cell>
          <cell r="F176">
            <v>1.3936725818614307E-5</v>
          </cell>
          <cell r="G176">
            <v>2.7632330103669228E-5</v>
          </cell>
          <cell r="H176">
            <v>4.7168172820789146E-5</v>
          </cell>
          <cell r="I176">
            <v>1.8536805146989377E-4</v>
          </cell>
          <cell r="J176"/>
        </row>
        <row r="177">
          <cell r="A177" t="str">
            <v>RHNM-SHSOLBR</v>
          </cell>
          <cell r="B177" t="str">
            <v>VAR_fin</v>
          </cell>
          <cell r="C177" t="str">
            <v>SOL</v>
          </cell>
          <cell r="D177"/>
          <cell r="E177">
            <v>2.1538515729160986E-2</v>
          </cell>
          <cell r="F177">
            <v>1.3936725818614307E-5</v>
          </cell>
          <cell r="G177">
            <v>2.7632330103669228E-5</v>
          </cell>
          <cell r="H177">
            <v>4.7168172820789146E-5</v>
          </cell>
          <cell r="I177">
            <v>1.8536805146989377E-4</v>
          </cell>
          <cell r="J177"/>
        </row>
        <row r="178">
          <cell r="A178" t="str">
            <v>RHNM-SHSOLBR</v>
          </cell>
          <cell r="B178" t="str">
            <v>VAR_ncap</v>
          </cell>
          <cell r="C178" t="str">
            <v>-</v>
          </cell>
          <cell r="D178"/>
          <cell r="E178">
            <v>3.14400238873922E-3</v>
          </cell>
          <cell r="F178">
            <v>3.1048850493098201E-7</v>
          </cell>
          <cell r="G178">
            <v>4.7614881475628303E-7</v>
          </cell>
          <cell r="H178">
            <v>1.3277701827099601E-4</v>
          </cell>
          <cell r="I178">
            <v>5.2313588457670401E-5</v>
          </cell>
          <cell r="J178"/>
        </row>
        <row r="179">
          <cell r="A179" t="str">
            <v>RHNM-SHSOLBR</v>
          </cell>
          <cell r="B179" t="str">
            <v>VAR_cap</v>
          </cell>
          <cell r="C179" t="str">
            <v>-</v>
          </cell>
          <cell r="D179"/>
          <cell r="E179">
            <v>3.14400238873922E-3</v>
          </cell>
          <cell r="F179">
            <v>3.1329395324096207E-3</v>
          </cell>
          <cell r="G179">
            <v>3.1333157049472983E-3</v>
          </cell>
          <cell r="H179">
            <v>1.3523735183900706E-4</v>
          </cell>
          <cell r="I179">
            <v>1.4936276425507957E-4</v>
          </cell>
          <cell r="J179"/>
        </row>
        <row r="180">
          <cell r="A180" t="str">
            <v>RHEM-SHPLTBR</v>
          </cell>
          <cell r="B180" t="str">
            <v>VAR_fout</v>
          </cell>
          <cell r="C180" t="str">
            <v>RHEM-SHPLT</v>
          </cell>
          <cell r="D180">
            <v>1.4011282697171923</v>
          </cell>
          <cell r="E180">
            <v>1.6077976313834288</v>
          </cell>
          <cell r="F180">
            <v>0.29617207953482799</v>
          </cell>
          <cell r="G180">
            <v>0.49664875619493787</v>
          </cell>
          <cell r="H180">
            <v>0.75520128534099584</v>
          </cell>
          <cell r="I180">
            <v>0.9332994467624155</v>
          </cell>
          <cell r="J180"/>
          <cell r="K180"/>
          <cell r="L180"/>
        </row>
        <row r="181">
          <cell r="A181" t="str">
            <v>RHEM-SHPLTBR</v>
          </cell>
          <cell r="B181" t="str">
            <v>VAR_fin</v>
          </cell>
          <cell r="C181" t="str">
            <v>RHEMPLTBRC</v>
          </cell>
          <cell r="D181">
            <v>1.4011282697171923</v>
          </cell>
          <cell r="E181">
            <v>1.6077976313834288</v>
          </cell>
          <cell r="F181">
            <v>0.29617207953482799</v>
          </cell>
          <cell r="G181">
            <v>0.49664875619493787</v>
          </cell>
          <cell r="H181">
            <v>0.75520128534099584</v>
          </cell>
          <cell r="I181">
            <v>0.9332994467624155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RPLT</v>
          </cell>
          <cell r="D182">
            <v>1.5568091885746584</v>
          </cell>
          <cell r="E182">
            <v>1.786441812648252</v>
          </cell>
          <cell r="F182">
            <v>0.40298644464877353</v>
          </cell>
          <cell r="G182">
            <v>0.66944247614670715</v>
          </cell>
          <cell r="H182">
            <v>1.0119560445109772</v>
          </cell>
          <cell r="I182">
            <v>1.2445042491856124</v>
          </cell>
          <cell r="J182"/>
        </row>
        <row r="183">
          <cell r="A183" t="str">
            <v>RHEM-SHPLTBR</v>
          </cell>
          <cell r="B183" t="str">
            <v>VAR_ncap</v>
          </cell>
          <cell r="C183" t="str">
            <v>-</v>
          </cell>
          <cell r="D183">
            <v>3.3723085227650901E-5</v>
          </cell>
          <cell r="E183">
            <v>1.4676926947345299E-2</v>
          </cell>
          <cell r="F183">
            <v>3.78771986601459E-8</v>
          </cell>
          <cell r="G183">
            <v>1.89574747603482E-7</v>
          </cell>
          <cell r="H183">
            <v>2.4464319945823501E-2</v>
          </cell>
          <cell r="I183">
            <v>3.5942246277198997E-2</v>
          </cell>
          <cell r="J183"/>
        </row>
        <row r="184">
          <cell r="A184" t="str">
            <v>RHEM-SHPLTBR</v>
          </cell>
          <cell r="B184" t="str">
            <v>VAR_cap</v>
          </cell>
          <cell r="C184" t="str">
            <v>-</v>
          </cell>
          <cell r="D184">
            <v>9.9732779205508257E-2</v>
          </cell>
          <cell r="E184">
            <v>0.11440968376655331</v>
          </cell>
          <cell r="F184">
            <v>4.6353086567951299E-2</v>
          </cell>
          <cell r="G184">
            <v>4.63527820858185E-2</v>
          </cell>
          <cell r="H184">
            <v>5.3344947106064758E-2</v>
          </cell>
          <cell r="I184">
            <v>6.5913073852733248E-2</v>
          </cell>
          <cell r="J184"/>
        </row>
        <row r="185">
          <cell r="A185" t="str">
            <v>RHEM-SHCONBR6</v>
          </cell>
          <cell r="B185" t="str">
            <v>VAR_fout</v>
          </cell>
          <cell r="C185" t="str">
            <v>RHEM-SHCON</v>
          </cell>
          <cell r="D185"/>
          <cell r="E185">
            <v>3.9191086539337288E-4</v>
          </cell>
          <cell r="F185">
            <v>2.0088941938887429E-4</v>
          </cell>
          <cell r="G185">
            <v>3.6088920057506435E-4</v>
          </cell>
          <cell r="H185">
            <v>3.415935027464738E-4</v>
          </cell>
          <cell r="I185">
            <v>2.1038294539324706E-4</v>
          </cell>
          <cell r="J185"/>
        </row>
        <row r="186">
          <cell r="A186" t="str">
            <v>RHEM-SHCONBR6</v>
          </cell>
          <cell r="B186" t="str">
            <v>VAR_fin</v>
          </cell>
          <cell r="C186" t="str">
            <v>CON</v>
          </cell>
          <cell r="D186"/>
          <cell r="E186">
            <v>3.9191086539337288E-4</v>
          </cell>
          <cell r="F186">
            <v>2.0088941938887429E-4</v>
          </cell>
          <cell r="G186">
            <v>3.6088920057506435E-4</v>
          </cell>
          <cell r="H186">
            <v>3.415935027464738E-4</v>
          </cell>
          <cell r="I186">
            <v>2.1038294539324706E-4</v>
          </cell>
          <cell r="J186"/>
          <cell r="K186"/>
        </row>
        <row r="187">
          <cell r="A187" t="str">
            <v>RHEM-SHCONBR6</v>
          </cell>
          <cell r="B187" t="str">
            <v>VAR_ncap</v>
          </cell>
          <cell r="C187" t="str">
            <v>-</v>
          </cell>
          <cell r="D187"/>
          <cell r="E187">
            <v>2.72540041230719E-5</v>
          </cell>
          <cell r="F187"/>
          <cell r="G187"/>
          <cell r="H187">
            <v>2.3591051769649101E-8</v>
          </cell>
          <cell r="I187">
            <v>4.4727907043670797E-8</v>
          </cell>
          <cell r="J187"/>
          <cell r="K187"/>
        </row>
        <row r="188">
          <cell r="A188" t="str">
            <v>RHEM-SHCONBR6</v>
          </cell>
          <cell r="B188" t="str">
            <v>VAR_cap</v>
          </cell>
          <cell r="C188" t="str">
            <v>-</v>
          </cell>
          <cell r="D188"/>
          <cell r="E188">
            <v>2.72540041230719E-5</v>
          </cell>
          <cell r="F188">
            <v>2.7216423609000526E-5</v>
          </cell>
          <cell r="G188">
            <v>2.7243374865914927E-5</v>
          </cell>
          <cell r="H188">
            <v>2.7225273667902411E-5</v>
          </cell>
          <cell r="I188">
            <v>1.5833407763710583E-5</v>
          </cell>
          <cell r="J188"/>
          <cell r="K188"/>
        </row>
        <row r="189">
          <cell r="A189" t="str">
            <v>RHEM-SHCONBR7</v>
          </cell>
          <cell r="B189" t="str">
            <v>VAR_fout</v>
          </cell>
          <cell r="C189" t="str">
            <v>RHEM-SHCON</v>
          </cell>
          <cell r="D189"/>
          <cell r="E189">
            <v>1.3750236603229336E-4</v>
          </cell>
          <cell r="F189">
            <v>7.3374501457836361E-5</v>
          </cell>
          <cell r="G189">
            <v>1.1539280700228896E-4</v>
          </cell>
          <cell r="H189">
            <v>1.0631694436206164E-4</v>
          </cell>
          <cell r="I189">
            <v>6.8353352420142711E-5</v>
          </cell>
          <cell r="J189"/>
        </row>
        <row r="190">
          <cell r="A190" t="str">
            <v>RHEM-SHCONBR7</v>
          </cell>
          <cell r="B190" t="str">
            <v>VAR_fin</v>
          </cell>
          <cell r="C190" t="str">
            <v>CON</v>
          </cell>
          <cell r="D190"/>
          <cell r="E190">
            <v>1.3750236603229336E-4</v>
          </cell>
          <cell r="F190">
            <v>7.3374501457836361E-5</v>
          </cell>
          <cell r="G190">
            <v>1.1539280700228896E-4</v>
          </cell>
          <cell r="H190">
            <v>1.0631694436206164E-4</v>
          </cell>
          <cell r="I190">
            <v>6.8353352420142711E-5</v>
          </cell>
          <cell r="J190"/>
        </row>
        <row r="191">
          <cell r="A191" t="str">
            <v>RHEM-SHCONBR7</v>
          </cell>
          <cell r="B191" t="str">
            <v>VAR_ncap</v>
          </cell>
          <cell r="C191" t="str">
            <v>-</v>
          </cell>
          <cell r="D191"/>
          <cell r="E191">
            <v>9.2160184475074592E-6</v>
          </cell>
          <cell r="F191"/>
          <cell r="G191"/>
          <cell r="H191">
            <v>2.2709890440903199E-8</v>
          </cell>
          <cell r="I191">
            <v>4.0796969897417602E-8</v>
          </cell>
          <cell r="J191"/>
          <cell r="K191"/>
        </row>
        <row r="192">
          <cell r="A192" t="str">
            <v>RHEM-SHCONBR7</v>
          </cell>
          <cell r="B192" t="str">
            <v>VAR_cap</v>
          </cell>
          <cell r="C192" t="str">
            <v>-</v>
          </cell>
          <cell r="D192"/>
          <cell r="E192">
            <v>9.2160184475074592E-6</v>
          </cell>
          <cell r="F192">
            <v>9.1984064495158074E-6</v>
          </cell>
          <cell r="G192">
            <v>9.2160184475074592E-6</v>
          </cell>
          <cell r="H192">
            <v>9.2084620356462205E-6</v>
          </cell>
          <cell r="I192">
            <v>5.4088264450199297E-6</v>
          </cell>
          <cell r="J192"/>
        </row>
        <row r="193">
          <cell r="A193" t="str">
            <v>RHEM-SHCONBR8</v>
          </cell>
          <cell r="B193" t="str">
            <v>VAR_fout</v>
          </cell>
          <cell r="C193" t="str">
            <v>RHEM-SHCON</v>
          </cell>
          <cell r="D193"/>
          <cell r="E193">
            <v>3.5019761246193114E-5</v>
          </cell>
          <cell r="F193">
            <v>2.1371283633522172E-5</v>
          </cell>
          <cell r="G193">
            <v>2.4541167936371336E-5</v>
          </cell>
          <cell r="H193">
            <v>2.3435566214386458E-5</v>
          </cell>
          <cell r="I193">
            <v>1.565342392501234E-5</v>
          </cell>
          <cell r="J193"/>
        </row>
        <row r="194">
          <cell r="A194" t="str">
            <v>RHEM-SHCONBR8</v>
          </cell>
          <cell r="B194" t="str">
            <v>VAR_fin</v>
          </cell>
          <cell r="C194" t="str">
            <v>CON</v>
          </cell>
          <cell r="D194"/>
          <cell r="E194">
            <v>3.5019761246193114E-5</v>
          </cell>
          <cell r="F194">
            <v>2.1371283633522172E-5</v>
          </cell>
          <cell r="G194">
            <v>2.4541167936371336E-5</v>
          </cell>
          <cell r="H194">
            <v>2.3435566214386458E-5</v>
          </cell>
          <cell r="I194">
            <v>1.565342392501234E-5</v>
          </cell>
          <cell r="J194"/>
        </row>
        <row r="195">
          <cell r="A195" t="str">
            <v>RHEM-SHCONBR8</v>
          </cell>
          <cell r="B195" t="str">
            <v>VAR_ncap</v>
          </cell>
          <cell r="C195" t="str">
            <v>-</v>
          </cell>
          <cell r="D195"/>
          <cell r="E195">
            <v>1.85212899468397E-6</v>
          </cell>
          <cell r="F195"/>
          <cell r="G195"/>
          <cell r="H195">
            <v>1.96807549312315E-8</v>
          </cell>
          <cell r="I195">
            <v>2.2837376076623598E-8</v>
          </cell>
          <cell r="J195"/>
        </row>
        <row r="196">
          <cell r="A196" t="str">
            <v>RHEM-SHCONBR8</v>
          </cell>
          <cell r="B196" t="str">
            <v>VAR_cap</v>
          </cell>
          <cell r="C196" t="str">
            <v>-</v>
          </cell>
          <cell r="D196"/>
          <cell r="E196">
            <v>1.85212899468397E-6</v>
          </cell>
          <cell r="F196">
            <v>1.85212899468397E-6</v>
          </cell>
          <cell r="G196">
            <v>1.85212899468397E-6</v>
          </cell>
          <cell r="H196">
            <v>1.89372407864339E-6</v>
          </cell>
          <cell r="I196">
            <v>1.13515014878787E-6</v>
          </cell>
          <cell r="J196"/>
          <cell r="K196"/>
        </row>
        <row r="197">
          <cell r="A197" t="str">
            <v>RHES-SHELCHP</v>
          </cell>
          <cell r="B197" t="str">
            <v>VAR_fout</v>
          </cell>
          <cell r="C197" t="str">
            <v>RHES-SHAELCH</v>
          </cell>
          <cell r="D197">
            <v>9.1578111882009789</v>
          </cell>
          <cell r="E197">
            <v>10.275908529125745</v>
          </cell>
          <cell r="F197">
            <v>19.480979171548121</v>
          </cell>
          <cell r="G197">
            <v>22.605580711683331</v>
          </cell>
          <cell r="H197">
            <v>25.406779826424188</v>
          </cell>
          <cell r="I197">
            <v>26.99051891886673</v>
          </cell>
          <cell r="J197"/>
          <cell r="K197"/>
        </row>
        <row r="198">
          <cell r="A198" t="str">
            <v>RHES-SHELCHP</v>
          </cell>
          <cell r="B198" t="str">
            <v>VAR_fin</v>
          </cell>
          <cell r="C198" t="str">
            <v>RHES_ELC</v>
          </cell>
          <cell r="D198">
            <v>2.8618159606892943</v>
          </cell>
          <cell r="E198">
            <v>3.1585784120949367</v>
          </cell>
          <cell r="F198">
            <v>6.7605942180822991</v>
          </cell>
          <cell r="G198">
            <v>7.3393141884529625</v>
          </cell>
          <cell r="H198">
            <v>7.552136979201542</v>
          </cell>
          <cell r="I198">
            <v>7.3679755543134364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RHESELCHPC</v>
          </cell>
          <cell r="D199">
            <v>9.1578111882009789</v>
          </cell>
          <cell r="E199">
            <v>10.275908529125745</v>
          </cell>
          <cell r="F199">
            <v>19.480979171548121</v>
          </cell>
          <cell r="G199">
            <v>22.605580711683331</v>
          </cell>
          <cell r="H199">
            <v>25.406779826424188</v>
          </cell>
          <cell r="I199">
            <v>26.99051891886673</v>
          </cell>
          <cell r="J199"/>
          <cell r="K199"/>
        </row>
        <row r="200">
          <cell r="A200" t="str">
            <v>RHES-SHELCHP</v>
          </cell>
          <cell r="B200" t="str">
            <v>VAR_ncap</v>
          </cell>
          <cell r="C200" t="str">
            <v>-</v>
          </cell>
          <cell r="D200">
            <v>1.13511199660352E-7</v>
          </cell>
          <cell r="E200">
            <v>9.0328818431225005E-2</v>
          </cell>
          <cell r="F200">
            <v>0.74369858009204803</v>
          </cell>
          <cell r="G200">
            <v>0.25246745927352399</v>
          </cell>
          <cell r="H200">
            <v>1.00741541244018</v>
          </cell>
          <cell r="I200">
            <v>1.1360509845240301</v>
          </cell>
          <cell r="J200"/>
          <cell r="K200"/>
        </row>
        <row r="201">
          <cell r="A201" t="str">
            <v>RHES-SHELCHP</v>
          </cell>
          <cell r="B201" t="str">
            <v>VAR_cap</v>
          </cell>
          <cell r="C201" t="str">
            <v>-</v>
          </cell>
          <cell r="D201">
            <v>0.73983804143656462</v>
          </cell>
          <cell r="E201">
            <v>0.83016682640068207</v>
          </cell>
          <cell r="F201">
            <v>1.5738652940981326</v>
          </cell>
          <cell r="G201">
            <v>1.8263327898299302</v>
          </cell>
          <cell r="H201">
            <v>2.0526704711278465</v>
          </cell>
          <cell r="I201">
            <v>2.1806465764758185</v>
          </cell>
          <cell r="J201"/>
          <cell r="K201"/>
          <cell r="M201"/>
        </row>
        <row r="202">
          <cell r="A202" t="str">
            <v>RHSA-WHELCHP</v>
          </cell>
          <cell r="B202" t="str">
            <v>VAR_fout</v>
          </cell>
          <cell r="C202" t="str">
            <v>RHSA-WHAELCH</v>
          </cell>
          <cell r="D202">
            <v>3.2398964561919108</v>
          </cell>
          <cell r="E202">
            <v>3.6354588364912939</v>
          </cell>
          <cell r="F202">
            <v>4.6969822068301204</v>
          </cell>
          <cell r="G202">
            <v>6.8660427249147009</v>
          </cell>
          <cell r="H202">
            <v>10.225829683437402</v>
          </cell>
          <cell r="I202">
            <v>13.436870496969091</v>
          </cell>
          <cell r="J202"/>
        </row>
        <row r="203">
          <cell r="A203" t="str">
            <v>RHSA-WHELCHP</v>
          </cell>
          <cell r="B203" t="str">
            <v>VAR_fin</v>
          </cell>
          <cell r="C203" t="str">
            <v>RHSA_ELC</v>
          </cell>
          <cell r="D203">
            <v>1.1488994525503238</v>
          </cell>
          <cell r="E203">
            <v>1.2864327093033576</v>
          </cell>
          <cell r="F203">
            <v>2.5014679321889877</v>
          </cell>
          <cell r="G203">
            <v>3.371692338406663</v>
          </cell>
          <cell r="H203">
            <v>4.5687135516069217</v>
          </cell>
          <cell r="I203">
            <v>5.4948944608577746</v>
          </cell>
          <cell r="J203"/>
        </row>
        <row r="204">
          <cell r="A204" t="str">
            <v>RHSA-WHELCHP</v>
          </cell>
          <cell r="B204" t="str">
            <v>VAR_ncap</v>
          </cell>
          <cell r="C204" t="str">
            <v>-</v>
          </cell>
          <cell r="D204">
            <v>2.2302004182709899E-6</v>
          </cell>
          <cell r="E204">
            <v>3.3762043219292298E-2</v>
          </cell>
          <cell r="F204">
            <v>6.3866343177738205E-2</v>
          </cell>
          <cell r="G204">
            <v>0.144127759424443</v>
          </cell>
          <cell r="H204">
            <v>0.27932948100295202</v>
          </cell>
          <cell r="I204">
            <v>0.58344991366842003</v>
          </cell>
          <cell r="J204"/>
        </row>
        <row r="205">
          <cell r="A205" t="str">
            <v>RHSA-WHELCHP</v>
          </cell>
          <cell r="B205" t="str">
            <v>VAR_cap</v>
          </cell>
          <cell r="C205" t="str">
            <v>-</v>
          </cell>
          <cell r="D205">
            <v>0.21335489261965926</v>
          </cell>
          <cell r="E205">
            <v>0.24711684387605981</v>
          </cell>
          <cell r="F205">
            <v>0.31098310775358656</v>
          </cell>
          <cell r="G205">
            <v>0.45511087641465375</v>
          </cell>
          <cell r="H205">
            <v>0.69894234195596072</v>
          </cell>
          <cell r="I205">
            <v>0.91723926438471615</v>
          </cell>
          <cell r="J205"/>
        </row>
        <row r="206">
          <cell r="A206" t="str">
            <v>D-ITOT_LTH_CHP</v>
          </cell>
          <cell r="B206" t="str">
            <v>VAR_fout</v>
          </cell>
          <cell r="C206" t="str">
            <v>ITOT_LTH_CHP_ON</v>
          </cell>
          <cell r="D206">
            <v>5.6086450395059524</v>
          </cell>
          <cell r="E206">
            <v>6.0095225021584691</v>
          </cell>
          <cell r="F206">
            <v>6.1082802186598748</v>
          </cell>
          <cell r="G206">
            <v>7.6975970068490591</v>
          </cell>
          <cell r="H206">
            <v>11.357858124294747</v>
          </cell>
          <cell r="I206">
            <v>13.655245514662109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LTH</v>
          </cell>
          <cell r="D207"/>
          <cell r="E207">
            <v>1.1919796930711269E-4</v>
          </cell>
          <cell r="F207">
            <v>1.2323478275232693E-3</v>
          </cell>
          <cell r="G207">
            <v>5.1090559564729112E-4</v>
          </cell>
          <cell r="H207">
            <v>2.5348043908189353E-3</v>
          </cell>
          <cell r="I207">
            <v>2.0704368829709721E-3</v>
          </cell>
          <cell r="J207"/>
          <cell r="K207"/>
        </row>
        <row r="208">
          <cell r="A208" t="str">
            <v>D-ITOT_LTH_CHP</v>
          </cell>
          <cell r="B208" t="str">
            <v>VAR_fin</v>
          </cell>
          <cell r="C208" t="str">
            <v>ITOT_LTH_CHP</v>
          </cell>
          <cell r="D208">
            <v>5.6086450395059524</v>
          </cell>
          <cell r="E208">
            <v>6.0096417001277791</v>
          </cell>
          <cell r="F208">
            <v>6.1095125664873926</v>
          </cell>
          <cell r="G208">
            <v>7.6981079124447076</v>
          </cell>
          <cell r="H208">
            <v>11.360392928685576</v>
          </cell>
          <cell r="I208">
            <v>13.657315951545073</v>
          </cell>
          <cell r="J208"/>
          <cell r="K208"/>
        </row>
        <row r="209">
          <cell r="A209" t="str">
            <v>RHEM-SHCONBR9</v>
          </cell>
          <cell r="B209" t="str">
            <v>VAR_fout</v>
          </cell>
          <cell r="C209" t="str">
            <v>RHEM-SHCON</v>
          </cell>
          <cell r="D209"/>
          <cell r="E209">
            <v>9.6084491675341622E-6</v>
          </cell>
          <cell r="F209">
            <v>8.6428417334178754E-6</v>
          </cell>
          <cell r="G209">
            <v>6.5166817052696629E-6</v>
          </cell>
          <cell r="H209">
            <v>7.3147216584433727E-6</v>
          </cell>
          <cell r="I209">
            <v>4.9986477206082529E-6</v>
          </cell>
          <cell r="J209"/>
        </row>
        <row r="210">
          <cell r="A210" t="str">
            <v>RHEM-SHCONBR9</v>
          </cell>
          <cell r="B210" t="str">
            <v>VAR_fin</v>
          </cell>
          <cell r="C210" t="str">
            <v>CON</v>
          </cell>
          <cell r="D210"/>
          <cell r="E210">
            <v>9.6084491675341622E-6</v>
          </cell>
          <cell r="F210">
            <v>8.6428417334178754E-6</v>
          </cell>
          <cell r="G210">
            <v>6.5166817052696629E-6</v>
          </cell>
          <cell r="H210">
            <v>7.3147216584433727E-6</v>
          </cell>
          <cell r="I210">
            <v>4.9986477206082529E-6</v>
          </cell>
          <cell r="J210"/>
          <cell r="K210"/>
        </row>
        <row r="211">
          <cell r="A211" t="str">
            <v>RHEM-SHCONBR9</v>
          </cell>
          <cell r="B211" t="str">
            <v>VAR_ncap</v>
          </cell>
          <cell r="C211" t="str">
            <v>-</v>
          </cell>
          <cell r="D211"/>
          <cell r="E211">
            <v>4.1634754525851E-8</v>
          </cell>
          <cell r="F211"/>
          <cell r="G211"/>
          <cell r="H211">
            <v>1.2205421006607401E-8</v>
          </cell>
          <cell r="I211">
            <v>1.05286660748418E-8</v>
          </cell>
          <cell r="J211"/>
          <cell r="K211"/>
        </row>
        <row r="212">
          <cell r="A212" t="str">
            <v>RHEM-SHCONBR9</v>
          </cell>
          <cell r="B212" t="str">
            <v>VAR_cap</v>
          </cell>
          <cell r="C212" t="str">
            <v>-</v>
          </cell>
          <cell r="D212"/>
          <cell r="E212">
            <v>4.1634754525851E-8</v>
          </cell>
          <cell r="F212">
            <v>4.1634754525851E-8</v>
          </cell>
          <cell r="G212">
            <v>4.1634754525851E-8</v>
          </cell>
          <cell r="H212">
            <v>7.1731594684749501E-8</v>
          </cell>
          <cell r="I212">
            <v>6.4694600916465194E-8</v>
          </cell>
          <cell r="J212"/>
          <cell r="K212"/>
        </row>
        <row r="213">
          <cell r="A213" t="str">
            <v>SCOM-SHELCHP</v>
          </cell>
          <cell r="B213" t="str">
            <v>VAR_fout</v>
          </cell>
          <cell r="C213" t="str">
            <v>SCOM-SHAELCH</v>
          </cell>
          <cell r="D213">
            <v>4.2612122060537558</v>
          </cell>
          <cell r="E213">
            <v>4.6176507812268195</v>
          </cell>
          <cell r="F213">
            <v>4.5774343509492121</v>
          </cell>
          <cell r="G213">
            <v>7.1085901203120958</v>
          </cell>
          <cell r="H213">
            <v>11.037946141562642</v>
          </cell>
          <cell r="I213">
            <v>14.91853765828338</v>
          </cell>
          <cell r="J213"/>
        </row>
        <row r="214">
          <cell r="A214" t="str">
            <v>SCOM-SHELCHP</v>
          </cell>
          <cell r="B214" t="str">
            <v>VAR_fin</v>
          </cell>
          <cell r="C214" t="str">
            <v>SCOMELCHPC</v>
          </cell>
          <cell r="D214">
            <v>4.2612122060537558</v>
          </cell>
          <cell r="E214">
            <v>4.6176507812268195</v>
          </cell>
          <cell r="F214">
            <v>4.5774343509492121</v>
          </cell>
          <cell r="G214">
            <v>7.1085901203120958</v>
          </cell>
          <cell r="H214">
            <v>11.037946141562642</v>
          </cell>
          <cell r="I214">
            <v>14.91853765828338</v>
          </cell>
          <cell r="J214"/>
          <cell r="K214"/>
        </row>
        <row r="215">
          <cell r="A215" t="str">
            <v>SCOM-SHELCHP</v>
          </cell>
          <cell r="B215" t="str">
            <v>VAR_fin</v>
          </cell>
          <cell r="C215" t="str">
            <v>SCOM_ELC</v>
          </cell>
          <cell r="D215">
            <v>1.3316288143917983</v>
          </cell>
          <cell r="E215">
            <v>1.4252008584033393</v>
          </cell>
          <cell r="F215">
            <v>1.6124104726522177</v>
          </cell>
          <cell r="G215">
            <v>2.3530842348820684</v>
          </cell>
          <cell r="H215">
            <v>3.4063511621300462</v>
          </cell>
          <cell r="I215">
            <v>4.3053140659411238</v>
          </cell>
          <cell r="J215"/>
        </row>
        <row r="216">
          <cell r="A216" t="str">
            <v>SCOM-SHELCHP</v>
          </cell>
          <cell r="B216" t="str">
            <v>VAR_ncap</v>
          </cell>
          <cell r="C216" t="str">
            <v>-</v>
          </cell>
          <cell r="D216">
            <v>7.8237784165997202E-8</v>
          </cell>
          <cell r="E216">
            <v>1.3021904637133799E-7</v>
          </cell>
          <cell r="F216">
            <v>2.4892033794171099E-7</v>
          </cell>
          <cell r="G216">
            <v>0.118878061088988</v>
          </cell>
          <cell r="H216">
            <v>0.302147705896261</v>
          </cell>
          <cell r="I216">
            <v>0.73259116870860097</v>
          </cell>
          <cell r="J216"/>
        </row>
        <row r="217">
          <cell r="A217" t="str">
            <v>SCOM-SHELCHP</v>
          </cell>
          <cell r="B217" t="str">
            <v>VAR_cap</v>
          </cell>
          <cell r="C217" t="str">
            <v>-</v>
          </cell>
          <cell r="D217">
            <v>0.43061739169157215</v>
          </cell>
          <cell r="E217">
            <v>0.4306171860198178</v>
          </cell>
          <cell r="F217">
            <v>0.43061726033108322</v>
          </cell>
          <cell r="G217">
            <v>0.54949561292424731</v>
          </cell>
          <cell r="H217">
            <v>0.85929541281150279</v>
          </cell>
          <cell r="I217">
            <v>1.1531965417650192</v>
          </cell>
          <cell r="J217"/>
          <cell r="K217"/>
        </row>
        <row r="218">
          <cell r="A218" t="str">
            <v>D-ITOT_NKEV_OIL_ELC_CHP</v>
          </cell>
          <cell r="B218" t="str">
            <v>VAR_fout</v>
          </cell>
          <cell r="C218" t="str">
            <v>ITOT_ELC</v>
          </cell>
          <cell r="D218">
            <v>6.9221732730057231E-2</v>
          </cell>
          <cell r="E218">
            <v>0.17043112462740825</v>
          </cell>
          <cell r="F218">
            <v>6.1079521819762152E-2</v>
          </cell>
          <cell r="G218">
            <v>0.17052988218156273</v>
          </cell>
          <cell r="H218">
            <v>2.4596249399631183E-2</v>
          </cell>
          <cell r="I218">
            <v>3.548470523974457E-2</v>
          </cell>
          <cell r="J218"/>
        </row>
        <row r="219">
          <cell r="A219" t="str">
            <v>D-ITOT_NKEV_OIL_ELC_CHP</v>
          </cell>
          <cell r="B219" t="str">
            <v>VAR_fout</v>
          </cell>
          <cell r="C219" t="str">
            <v>ELC5</v>
          </cell>
          <cell r="D219">
            <v>1.2791881733560388E-3</v>
          </cell>
          <cell r="E219">
            <v>9.0137021733742158E-4</v>
          </cell>
          <cell r="F219">
            <v>6.168479383095414E-4</v>
          </cell>
          <cell r="G219">
            <v>3.526677042771348E-4</v>
          </cell>
          <cell r="H219">
            <v>5.0636169718817762E-4</v>
          </cell>
          <cell r="I219">
            <v>1.0038227648591128E-3</v>
          </cell>
          <cell r="J219"/>
        </row>
        <row r="220">
          <cell r="A220" t="str">
            <v>D-ITOT_NKEV_OIL_ELC_CHP</v>
          </cell>
          <cell r="B220" t="str">
            <v>VAR_fin</v>
          </cell>
          <cell r="C220" t="str">
            <v>ITOT_NKEV_OIL_ELC_CHP</v>
          </cell>
          <cell r="D220">
            <v>7.0500920903413325E-2</v>
          </cell>
          <cell r="E220">
            <v>0.17133249484474561</v>
          </cell>
          <cell r="F220">
            <v>6.169085285295093E-2</v>
          </cell>
          <cell r="G220">
            <v>0.17087862523978123</v>
          </cell>
          <cell r="H220">
            <v>2.5070455213530862E-2</v>
          </cell>
          <cell r="I220">
            <v>3.6467715995658269E-2</v>
          </cell>
          <cell r="J220"/>
        </row>
        <row r="221">
          <cell r="A221" t="str">
            <v>RHNS-SHELCBR</v>
          </cell>
          <cell r="B221" t="str">
            <v>VAR_fout</v>
          </cell>
          <cell r="C221" t="str">
            <v>RHNS-SHAELCB</v>
          </cell>
          <cell r="D221"/>
          <cell r="E221">
            <v>6.9061608387895906E-2</v>
          </cell>
          <cell r="F221">
            <v>8.2080532346015499E-3</v>
          </cell>
          <cell r="G221">
            <v>1.7262034243384322E-2</v>
          </cell>
          <cell r="H221">
            <v>2.789917588080764E-2</v>
          </cell>
          <cell r="I221">
            <v>3.2178532193002797E-2</v>
          </cell>
          <cell r="J221"/>
        </row>
        <row r="222">
          <cell r="A222" t="str">
            <v>RHNS-SHELCBR</v>
          </cell>
          <cell r="B222" t="str">
            <v>VAR_fin</v>
          </cell>
          <cell r="C222" t="str">
            <v>RHNS_ELC</v>
          </cell>
          <cell r="D222"/>
          <cell r="E222">
            <v>7.2696429881995719E-2</v>
          </cell>
          <cell r="F222">
            <v>8.6400560364226914E-3</v>
          </cell>
          <cell r="G222">
            <v>1.8170562361457147E-2</v>
          </cell>
          <cell r="H222">
            <v>2.936755355874484E-2</v>
          </cell>
          <cell r="I222">
            <v>3.3872139150529286E-2</v>
          </cell>
          <cell r="J222"/>
          <cell r="K222"/>
        </row>
        <row r="223">
          <cell r="A223" t="str">
            <v>RHNS-SHELCBR</v>
          </cell>
          <cell r="B223" t="str">
            <v>VAR_ncap</v>
          </cell>
          <cell r="C223" t="str">
            <v>-</v>
          </cell>
          <cell r="D223"/>
          <cell r="E223">
            <v>5.0728306188662E-3</v>
          </cell>
          <cell r="F223"/>
          <cell r="G223"/>
          <cell r="H223"/>
          <cell r="I223"/>
          <cell r="J223"/>
          <cell r="K223"/>
        </row>
        <row r="224">
          <cell r="A224" t="str">
            <v>RHNS-SHELCBR</v>
          </cell>
          <cell r="B224" t="str">
            <v>VAR_cap</v>
          </cell>
          <cell r="C224" t="str">
            <v>-</v>
          </cell>
          <cell r="D224"/>
          <cell r="E224">
            <v>5.0728306188662E-3</v>
          </cell>
          <cell r="F224">
            <v>5.0713549080981628E-3</v>
          </cell>
          <cell r="G224">
            <v>5.0694936442616792E-3</v>
          </cell>
          <cell r="H224">
            <v>5.5901043907050649E-3</v>
          </cell>
          <cell r="I224">
            <v>2.3645066422270321E-3</v>
          </cell>
          <cell r="J224"/>
        </row>
        <row r="225">
          <cell r="A225" t="str">
            <v>ITOT-SWHSTG-SOL</v>
          </cell>
          <cell r="B225" t="str">
            <v>VAR_fout</v>
          </cell>
          <cell r="C225" t="str">
            <v>ITOT-SWHASOL</v>
          </cell>
          <cell r="D225">
            <v>3.0866367429761318E-5</v>
          </cell>
          <cell r="E225">
            <v>4.107915182368421E-5</v>
          </cell>
          <cell r="F225">
            <v>1.3468976077270865E-4</v>
          </cell>
          <cell r="G225">
            <v>1.5435261987905733E-4</v>
          </cell>
          <cell r="H225">
            <v>5.4660385807645451E-4</v>
          </cell>
          <cell r="I225">
            <v>4.0442120071051176E-4</v>
          </cell>
          <cell r="J225"/>
        </row>
        <row r="226">
          <cell r="A226" t="str">
            <v>ITOT-SWHSTG-SOL</v>
          </cell>
          <cell r="B226" t="str">
            <v>VAR_fin</v>
          </cell>
          <cell r="C226" t="str">
            <v>ITOT-SWHASOL</v>
          </cell>
          <cell r="D226">
            <v>3.1303652320778301E-5</v>
          </cell>
          <cell r="E226">
            <v>3.5546623883560422E-5</v>
          </cell>
          <cell r="F226">
            <v>1.5544590715286304E-4</v>
          </cell>
          <cell r="G226">
            <v>1.7401195985846456E-4</v>
          </cell>
          <cell r="H226">
            <v>5.7074664099736935E-4</v>
          </cell>
          <cell r="I226">
            <v>4.124443452070552E-4</v>
          </cell>
          <cell r="J226"/>
        </row>
        <row r="227">
          <cell r="A227" t="str">
            <v>ITOT-SWHSTG-SOL</v>
          </cell>
          <cell r="B227" t="str">
            <v>VAR_ncap</v>
          </cell>
          <cell r="C227" t="str">
            <v>-</v>
          </cell>
          <cell r="D227">
            <v>5.6919182805856402E-6</v>
          </cell>
          <cell r="E227"/>
          <cell r="F227">
            <v>9.3307211843333406E-6</v>
          </cell>
          <cell r="G227">
            <v>4.6819412507160998E-6</v>
          </cell>
          <cell r="H227">
            <v>6.8735150518510998E-7</v>
          </cell>
          <cell r="I227">
            <v>1.6644620103537601E-8</v>
          </cell>
          <cell r="J227"/>
          <cell r="K227"/>
        </row>
        <row r="228">
          <cell r="A228" t="str">
            <v>ITOT-SWHSTG-SOL</v>
          </cell>
          <cell r="B228" t="str">
            <v>VAR_cap</v>
          </cell>
          <cell r="C228" t="str">
            <v>-</v>
          </cell>
          <cell r="D228">
            <v>5.6919182805856402E-6</v>
          </cell>
          <cell r="E228">
            <v>5.6919182805856402E-6</v>
          </cell>
          <cell r="F228">
            <v>1.5022639464918999E-5</v>
          </cell>
          <cell r="G228">
            <v>1.9704580715635101E-5</v>
          </cell>
          <cell r="H228">
            <v>3.2594135472056401E-4</v>
          </cell>
          <cell r="I228">
            <v>1.36044498785517E-4</v>
          </cell>
          <cell r="J228"/>
          <cell r="K228"/>
        </row>
        <row r="229">
          <cell r="A229" t="str">
            <v>RHES-SHLTHCHPNGA</v>
          </cell>
          <cell r="B229" t="str">
            <v>VAR_fout</v>
          </cell>
          <cell r="C229" t="str">
            <v>RHES-SHLTHC-NGA</v>
          </cell>
          <cell r="D229">
            <v>3.0248408871656435E-2</v>
          </cell>
          <cell r="E229">
            <v>4.3009948051851953E-3</v>
          </cell>
          <cell r="F229"/>
          <cell r="G229"/>
          <cell r="H229"/>
          <cell r="I229"/>
          <cell r="J229"/>
          <cell r="K229"/>
        </row>
        <row r="230">
          <cell r="A230" t="str">
            <v>RHES-SHLTHCHPNGA</v>
          </cell>
          <cell r="B230" t="str">
            <v>VAR_fin</v>
          </cell>
          <cell r="C230" t="str">
            <v>RHESLTHCHPC</v>
          </cell>
          <cell r="D230">
            <v>3.0248408871656435E-2</v>
          </cell>
          <cell r="E230">
            <v>4.3009948051851953E-3</v>
          </cell>
          <cell r="F230"/>
          <cell r="G230"/>
          <cell r="H230"/>
          <cell r="I230"/>
          <cell r="J230"/>
        </row>
        <row r="231">
          <cell r="A231" t="str">
            <v>RHES-SHLTHCHPNGA</v>
          </cell>
          <cell r="B231" t="str">
            <v>VAR_fin</v>
          </cell>
          <cell r="C231" t="str">
            <v>RHES_LTH_CHPNGA_ON</v>
          </cell>
          <cell r="D231">
            <v>3.0553948355208534E-2</v>
          </cell>
          <cell r="E231">
            <v>4.3444391971567608E-3</v>
          </cell>
          <cell r="F231"/>
          <cell r="G231"/>
          <cell r="H231"/>
          <cell r="I231"/>
          <cell r="J231"/>
        </row>
        <row r="232">
          <cell r="A232" t="str">
            <v>RHES-SHLTHCHPNGA</v>
          </cell>
          <cell r="B232" t="str">
            <v>VAR_ncap</v>
          </cell>
          <cell r="C232" t="str">
            <v>-</v>
          </cell>
          <cell r="D232"/>
          <cell r="E232">
            <v>3.2315545720711401E-4</v>
          </cell>
          <cell r="F232">
            <v>7.1674808964944999E-4</v>
          </cell>
          <cell r="G232">
            <v>5.4786587528933897E-4</v>
          </cell>
          <cell r="H232">
            <v>1.4374980700588501E-4</v>
          </cell>
          <cell r="I232">
            <v>5.2720233406938698E-5</v>
          </cell>
          <cell r="J232"/>
        </row>
        <row r="233">
          <cell r="A233" t="str">
            <v>RHES-SHLTHCHPNGA</v>
          </cell>
          <cell r="B233" t="str">
            <v>VAR_cap</v>
          </cell>
          <cell r="C233" t="str">
            <v>-</v>
          </cell>
          <cell r="D233">
            <v>5.3757649990155603E-3</v>
          </cell>
          <cell r="E233">
            <v>5.8170260959541399E-4</v>
          </cell>
          <cell r="F233">
            <v>1.0668904962703599E-3</v>
          </cell>
          <cell r="G233">
            <v>1.0369207550277905E-3</v>
          </cell>
          <cell r="H233">
            <v>2.9206753928428511E-4</v>
          </cell>
          <cell r="I233">
            <v>9.5775608083569972E-5</v>
          </cell>
          <cell r="J233"/>
        </row>
        <row r="234">
          <cell r="A234" t="str">
            <v>RHSA-WHSTG-ELC</v>
          </cell>
          <cell r="B234" t="str">
            <v>VAR_fout</v>
          </cell>
          <cell r="C234" t="str">
            <v>RHSA-WHAELCB</v>
          </cell>
          <cell r="D234">
            <v>2.6834078893124574E-7</v>
          </cell>
          <cell r="E234">
            <v>3.0304925389447446E-7</v>
          </cell>
          <cell r="F234">
            <v>0.65512279340188861</v>
          </cell>
          <cell r="G234">
            <v>0.33014926535065836</v>
          </cell>
          <cell r="H234">
            <v>0.25795235301925329</v>
          </cell>
          <cell r="I234">
            <v>0.18737551178746067</v>
          </cell>
          <cell r="J234"/>
          <cell r="K234"/>
        </row>
        <row r="235">
          <cell r="A235" t="str">
            <v>RHSA-WHSTG-ELC</v>
          </cell>
          <cell r="B235" t="str">
            <v>VAR_fin</v>
          </cell>
          <cell r="C235" t="str">
            <v>RHSA-WHAELCB</v>
          </cell>
          <cell r="D235">
            <v>2.7982987926104819E-6</v>
          </cell>
          <cell r="E235">
            <v>1.9838610038590271E-7</v>
          </cell>
          <cell r="F235">
            <v>0.65513615962706229</v>
          </cell>
          <cell r="G235">
            <v>0.33015614713810593</v>
          </cell>
          <cell r="H235">
            <v>0.25795899905591274</v>
          </cell>
          <cell r="I235">
            <v>0.18738081171502155</v>
          </cell>
          <cell r="J235"/>
        </row>
        <row r="236">
          <cell r="A236" t="str">
            <v>RHSA-WHSTG-ELC</v>
          </cell>
          <cell r="B236" t="str">
            <v>VAR_ncap</v>
          </cell>
          <cell r="C236" t="str">
            <v>-</v>
          </cell>
          <cell r="D236">
            <v>4.6353397768924502E-3</v>
          </cell>
          <cell r="E236">
            <v>0.10637796844190101</v>
          </cell>
          <cell r="F236">
            <v>6.7597378780792004E-6</v>
          </cell>
          <cell r="G236">
            <v>9.1374706262096399E-6</v>
          </cell>
          <cell r="H236">
            <v>3.9433759677746101E-2</v>
          </cell>
          <cell r="I236">
            <v>2.3683925283167701E-3</v>
          </cell>
          <cell r="J236"/>
          <cell r="K236"/>
        </row>
        <row r="237">
          <cell r="A237" t="str">
            <v>RHSA-WHSTG-ELC</v>
          </cell>
          <cell r="B237" t="str">
            <v>VAR_cap</v>
          </cell>
          <cell r="C237" t="str">
            <v>-</v>
          </cell>
          <cell r="D237">
            <v>4.6362491457811713E-3</v>
          </cell>
          <cell r="E237">
            <v>0.11100966637639149</v>
          </cell>
          <cell r="F237">
            <v>7.7525425820100927E-2</v>
          </cell>
          <cell r="G237">
            <v>6.3617975477053806E-2</v>
          </cell>
          <cell r="H237">
            <v>4.2190543670772143E-2</v>
          </cell>
          <cell r="I237">
            <v>3.1935460356268583E-2</v>
          </cell>
          <cell r="J237"/>
          <cell r="K237"/>
        </row>
        <row r="238">
          <cell r="A238" t="str">
            <v>ITOT-SWHLFOBR</v>
          </cell>
          <cell r="B238" t="str">
            <v>VAR_fout</v>
          </cell>
          <cell r="C238" t="str">
            <v>ITOT-SWH</v>
          </cell>
          <cell r="D238">
            <v>6.9177055228208051</v>
          </cell>
          <cell r="E238">
            <v>6.2240588989655175</v>
          </cell>
          <cell r="F238">
            <v>6.2237577928780157</v>
          </cell>
          <cell r="G238">
            <v>5.0967417802368509</v>
          </cell>
          <cell r="H238">
            <v>2.6367623685818598</v>
          </cell>
          <cell r="I238">
            <v>0.19961414341460293</v>
          </cell>
          <cell r="J238"/>
          <cell r="K238"/>
        </row>
        <row r="239">
          <cell r="A239" t="str">
            <v>ITOT-SWHLFOBR</v>
          </cell>
          <cell r="B239" t="str">
            <v>VAR_fout</v>
          </cell>
          <cell r="C239" t="str">
            <v>CO2_I</v>
          </cell>
          <cell r="D239">
            <v>655.76814083611896</v>
          </cell>
          <cell r="E239">
            <v>589.06052010122698</v>
          </cell>
          <cell r="F239">
            <v>587.60840458753603</v>
          </cell>
          <cell r="G239">
            <v>479.272010472114</v>
          </cell>
          <cell r="H239">
            <v>245.97421478146799</v>
          </cell>
          <cell r="I239">
            <v>18.474239715585998</v>
          </cell>
          <cell r="J239"/>
          <cell r="K239"/>
        </row>
        <row r="240">
          <cell r="A240" t="str">
            <v>ITOT-SWHLFOBR</v>
          </cell>
          <cell r="B240" t="str">
            <v>VAR_fin</v>
          </cell>
          <cell r="C240" t="str">
            <v>ILFO</v>
          </cell>
          <cell r="D240">
            <v>8.89780381053078</v>
          </cell>
          <cell r="E240">
            <v>7.9926800556475897</v>
          </cell>
          <cell r="F240">
            <v>7.9729769957603374</v>
          </cell>
          <cell r="G240">
            <v>6.5030123537600355</v>
          </cell>
          <cell r="H240">
            <v>3.3375063063971226</v>
          </cell>
          <cell r="I240">
            <v>0.25066811011649887</v>
          </cell>
          <cell r="J240"/>
          <cell r="K240"/>
        </row>
        <row r="241">
          <cell r="A241" t="str">
            <v>ITOT-SWHLFOBR</v>
          </cell>
          <cell r="B241" t="str">
            <v>VAR_ncap</v>
          </cell>
          <cell r="C241" t="str">
            <v>-</v>
          </cell>
          <cell r="D241"/>
          <cell r="E241">
            <v>2.9910026898286499E-5</v>
          </cell>
          <cell r="F241">
            <v>9.8602670016322808E-6</v>
          </cell>
          <cell r="G241">
            <v>1.1679526538703E-5</v>
          </cell>
          <cell r="H241">
            <v>2.4077172483141299E-5</v>
          </cell>
          <cell r="I241">
            <v>2.53804727587768E-6</v>
          </cell>
          <cell r="J241"/>
        </row>
        <row r="242">
          <cell r="A242" t="str">
            <v>ITOT-SWHLFOBR</v>
          </cell>
          <cell r="B242" t="str">
            <v>VAR_cap</v>
          </cell>
          <cell r="C242" t="str">
            <v>-</v>
          </cell>
          <cell r="D242">
            <v>0.37633543963083199</v>
          </cell>
          <cell r="E242">
            <v>0.37636016779753095</v>
          </cell>
          <cell r="F242">
            <v>0.37635288710631809</v>
          </cell>
          <cell r="G242">
            <v>0.37633134862276124</v>
          </cell>
          <cell r="H242">
            <v>0.18790440932635794</v>
          </cell>
          <cell r="I242">
            <v>2.0911279623005694E-2</v>
          </cell>
          <cell r="J242"/>
          <cell r="K242"/>
        </row>
        <row r="243">
          <cell r="A243" t="str">
            <v>D-SCOM_LTH_CHPNGA</v>
          </cell>
          <cell r="B243" t="str">
            <v>VAR_fout</v>
          </cell>
          <cell r="C243" t="str">
            <v>LTH</v>
          </cell>
          <cell r="D243"/>
          <cell r="E243">
            <v>6.3401013043613935E-6</v>
          </cell>
          <cell r="F243"/>
          <cell r="G243"/>
          <cell r="H243"/>
          <cell r="I243"/>
          <cell r="J243"/>
          <cell r="K243"/>
        </row>
        <row r="244">
          <cell r="A244" t="str">
            <v>D-SCOM_LTH_CHPNGA</v>
          </cell>
          <cell r="B244" t="str">
            <v>VAR_fout</v>
          </cell>
          <cell r="C244" t="str">
            <v>SCOM_LTH_CHPNGA_ON</v>
          </cell>
          <cell r="D244">
            <v>0.69257625996572114</v>
          </cell>
          <cell r="E244">
            <v>0.75019253418602894</v>
          </cell>
          <cell r="F244"/>
          <cell r="G244"/>
          <cell r="H244"/>
          <cell r="I244"/>
          <cell r="J244"/>
          <cell r="K244"/>
        </row>
        <row r="245">
          <cell r="A245" t="str">
            <v>D-SCOM_LTH_CHPNGA</v>
          </cell>
          <cell r="B245" t="str">
            <v>VAR_fin</v>
          </cell>
          <cell r="C245" t="str">
            <v>SCOM_LTH_CHPNGA</v>
          </cell>
          <cell r="D245">
            <v>0.69257625996572114</v>
          </cell>
          <cell r="E245">
            <v>0.75019887428733367</v>
          </cell>
          <cell r="F245"/>
          <cell r="G245"/>
          <cell r="H245"/>
          <cell r="I245"/>
          <cell r="J245"/>
        </row>
        <row r="246">
          <cell r="A246" t="str">
            <v>D-IWOD</v>
          </cell>
          <cell r="B246" t="str">
            <v>VAR_fout</v>
          </cell>
          <cell r="C246" t="str">
            <v>IWOD</v>
          </cell>
          <cell r="D246">
            <v>9.8745960159480504</v>
          </cell>
          <cell r="E246">
            <v>12.916002062674607</v>
          </cell>
          <cell r="F246">
            <v>14.337788023911859</v>
          </cell>
          <cell r="G246">
            <v>15.396812552654731</v>
          </cell>
          <cell r="H246">
            <v>29.144524512243059</v>
          </cell>
          <cell r="I246">
            <v>31.776171927611706</v>
          </cell>
          <cell r="J246"/>
          <cell r="K246"/>
        </row>
        <row r="247">
          <cell r="A247" t="str">
            <v>D-IWOD</v>
          </cell>
          <cell r="B247" t="str">
            <v>VAR_fin</v>
          </cell>
          <cell r="C247" t="str">
            <v>WOD</v>
          </cell>
          <cell r="D247">
            <v>9.8745960159480504</v>
          </cell>
          <cell r="E247">
            <v>12.916002062674607</v>
          </cell>
          <cell r="F247">
            <v>14.337788023911859</v>
          </cell>
          <cell r="G247">
            <v>15.396812552654731</v>
          </cell>
          <cell r="H247">
            <v>29.144524512243059</v>
          </cell>
          <cell r="I247">
            <v>31.776171927611706</v>
          </cell>
          <cell r="J247"/>
          <cell r="K247"/>
        </row>
        <row r="248">
          <cell r="A248" t="str">
            <v>SCOM-ELCSPEC</v>
          </cell>
          <cell r="B248" t="str">
            <v>VAR_fout</v>
          </cell>
          <cell r="C248" t="str">
            <v>SCOM-ELS</v>
          </cell>
          <cell r="D248">
            <v>56.994774574912441</v>
          </cell>
          <cell r="E248">
            <v>58.701894736035307</v>
          </cell>
          <cell r="F248">
            <v>56.809115337740849</v>
          </cell>
          <cell r="G248">
            <v>56.185374044387082</v>
          </cell>
          <cell r="H248">
            <v>54.957745808253691</v>
          </cell>
          <cell r="I248">
            <v>52.468818929980841</v>
          </cell>
          <cell r="J248"/>
        </row>
        <row r="249">
          <cell r="A249" t="str">
            <v>SCOM-ELCSPEC</v>
          </cell>
          <cell r="B249" t="str">
            <v>VAR_fin</v>
          </cell>
          <cell r="C249" t="str">
            <v>SCOM_ELC</v>
          </cell>
          <cell r="D249">
            <v>56.994774574912441</v>
          </cell>
          <cell r="E249">
            <v>58.701894736035307</v>
          </cell>
          <cell r="F249">
            <v>56.809115337740849</v>
          </cell>
          <cell r="G249">
            <v>56.185374044387082</v>
          </cell>
          <cell r="H249">
            <v>54.957745808253691</v>
          </cell>
          <cell r="I249">
            <v>52.468818929980841</v>
          </cell>
          <cell r="J249"/>
        </row>
        <row r="250">
          <cell r="A250" t="str">
            <v>SCOM-ELCSPEC</v>
          </cell>
          <cell r="B250" t="str">
            <v>VAR_ncap</v>
          </cell>
          <cell r="C250" t="str">
            <v>-</v>
          </cell>
          <cell r="D250">
            <v>7.3700773467951402E-8</v>
          </cell>
          <cell r="E250">
            <v>6.2681625173027597E-7</v>
          </cell>
          <cell r="F250">
            <v>5.6903560470059795E-7</v>
          </cell>
          <cell r="G250">
            <v>5.2879916410175095E-7</v>
          </cell>
          <cell r="H250">
            <v>7.34274705477294E-7</v>
          </cell>
          <cell r="I250">
            <v>5.02991773222353</v>
          </cell>
          <cell r="J250"/>
        </row>
        <row r="251">
          <cell r="A251" t="str">
            <v>SCOM-ELCSPEC</v>
          </cell>
          <cell r="B251" t="str">
            <v>VAR_cap</v>
          </cell>
          <cell r="C251" t="str">
            <v>-</v>
          </cell>
          <cell r="D251">
            <v>6.6055313420546335</v>
          </cell>
          <cell r="E251">
            <v>6.2047501812941057</v>
          </cell>
          <cell r="F251">
            <v>6.0046848377682656</v>
          </cell>
          <cell r="G251">
            <v>5.9387554788209087</v>
          </cell>
          <cell r="H251">
            <v>5.8089962328432136</v>
          </cell>
          <cell r="I251">
            <v>5.545917462498946</v>
          </cell>
          <cell r="J251"/>
        </row>
        <row r="252">
          <cell r="A252" t="str">
            <v>D-ITOT_KEV_WST_ELC_CHP</v>
          </cell>
          <cell r="B252" t="str">
            <v>VAR_fout</v>
          </cell>
          <cell r="C252" t="str">
            <v>ITOT_ELC</v>
          </cell>
          <cell r="D252">
            <v>4.6467261317780569E-4</v>
          </cell>
          <cell r="E252">
            <v>1.6336811636266896E-4</v>
          </cell>
          <cell r="F252">
            <v>3.3606797579971626E-4</v>
          </cell>
          <cell r="G252">
            <v>0.33186388565831504</v>
          </cell>
          <cell r="H252">
            <v>0.31179695259170648</v>
          </cell>
          <cell r="I252">
            <v>0.27523012121996304</v>
          </cell>
          <cell r="J252"/>
          <cell r="K252"/>
        </row>
        <row r="253">
          <cell r="A253" t="str">
            <v>D-ITOT_KEV_WST_ELC_CHP</v>
          </cell>
          <cell r="B253" t="str">
            <v>VAR_fout</v>
          </cell>
          <cell r="C253" t="str">
            <v>ELC5</v>
          </cell>
          <cell r="D253">
            <v>0.22957902838758287</v>
          </cell>
          <cell r="E253">
            <v>0.22999428619014681</v>
          </cell>
          <cell r="F253">
            <v>0.33637205375317825</v>
          </cell>
          <cell r="G253">
            <v>1.0894547531677481E-3</v>
          </cell>
          <cell r="H253">
            <v>1.5747920536696478E-2</v>
          </cell>
          <cell r="I253">
            <v>4.8986504283621606E-2</v>
          </cell>
          <cell r="J253"/>
          <cell r="K253"/>
        </row>
        <row r="254">
          <cell r="A254" t="str">
            <v>D-ITOT_KEV_WST_ELC_CHP</v>
          </cell>
          <cell r="B254" t="str">
            <v>VAR_fin</v>
          </cell>
          <cell r="C254" t="str">
            <v>ITOT_KEV_WST_ELC_CHP</v>
          </cell>
          <cell r="D254">
            <v>0.2300437010007608</v>
          </cell>
          <cell r="E254">
            <v>0.2301576543065095</v>
          </cell>
          <cell r="F254">
            <v>0.33670653183539301</v>
          </cell>
          <cell r="G254">
            <v>0.33294551668137751</v>
          </cell>
          <cell r="H254">
            <v>0.32752479506132698</v>
          </cell>
          <cell r="I254">
            <v>0.32420046160345822</v>
          </cell>
          <cell r="J254"/>
          <cell r="K254"/>
        </row>
        <row r="255">
          <cell r="A255" t="str">
            <v>D-RHNM_SOLELC</v>
          </cell>
          <cell r="B255" t="str">
            <v>VAR_fout</v>
          </cell>
          <cell r="C255" t="str">
            <v>ELC5</v>
          </cell>
          <cell r="D255"/>
          <cell r="E255">
            <v>1.0790006844638615E-5</v>
          </cell>
          <cell r="F255">
            <v>1.1324352359871013</v>
          </cell>
          <cell r="G255">
            <v>1.3098583609962637</v>
          </cell>
          <cell r="H255">
            <v>1.4261167819207967</v>
          </cell>
          <cell r="I255">
            <v>1.5072993810440432</v>
          </cell>
          <cell r="J255"/>
        </row>
        <row r="256">
          <cell r="A256" t="str">
            <v>D-RHNM_SOLELC</v>
          </cell>
          <cell r="B256" t="str">
            <v>VAR_fout</v>
          </cell>
          <cell r="C256" t="str">
            <v>RHNM_ELC</v>
          </cell>
          <cell r="D256"/>
          <cell r="E256">
            <v>1.079298392924039E-5</v>
          </cell>
          <cell r="F256">
            <v>0.95506666554347786</v>
          </cell>
          <cell r="G256">
            <v>1.1184599099050432</v>
          </cell>
          <cell r="H256">
            <v>1.2562633496315678</v>
          </cell>
          <cell r="I256">
            <v>1.4557192629063294</v>
          </cell>
          <cell r="J256"/>
        </row>
        <row r="257">
          <cell r="A257" t="str">
            <v>D-RHNM_SOLELC</v>
          </cell>
          <cell r="B257" t="str">
            <v>VAR_fin</v>
          </cell>
          <cell r="C257" t="str">
            <v>RHNM_SOL_ELC</v>
          </cell>
          <cell r="D257"/>
          <cell r="E257">
            <v>2.1543467148038538E-5</v>
          </cell>
          <cell r="F257">
            <v>2.0875019015305778</v>
          </cell>
          <cell r="G257">
            <v>2.428316046333086</v>
          </cell>
          <cell r="H257">
            <v>2.6823743281687622</v>
          </cell>
          <cell r="I257">
            <v>2.9630132624960619</v>
          </cell>
          <cell r="J257"/>
          <cell r="K257"/>
        </row>
        <row r="258">
          <cell r="A258" t="str">
            <v>RHNM-SHSTG-ELCHP</v>
          </cell>
          <cell r="B258" t="str">
            <v>VAR_fout</v>
          </cell>
          <cell r="C258" t="str">
            <v>RHNM-SHAELCH</v>
          </cell>
          <cell r="D258"/>
          <cell r="E258">
            <v>8.4970961048553211E-7</v>
          </cell>
          <cell r="F258">
            <v>0.21305952359487682</v>
          </cell>
          <cell r="G258">
            <v>0.32537725773167975</v>
          </cell>
          <cell r="H258">
            <v>0.53119579897355484</v>
          </cell>
          <cell r="I258">
            <v>0.65239242125406904</v>
          </cell>
          <cell r="J258"/>
        </row>
        <row r="259">
          <cell r="A259" t="str">
            <v>RHNM-SHSTG-ELCHP</v>
          </cell>
          <cell r="B259" t="str">
            <v>VAR_fin</v>
          </cell>
          <cell r="C259" t="str">
            <v>RHNM-SHAELCH</v>
          </cell>
          <cell r="D259"/>
          <cell r="E259">
            <v>7.8413154402206839E-7</v>
          </cell>
          <cell r="F259">
            <v>0.21306661632445476</v>
          </cell>
          <cell r="G259">
            <v>0.32538885613173407</v>
          </cell>
          <cell r="H259">
            <v>0.53122142344741752</v>
          </cell>
          <cell r="I259">
            <v>0.65241986392379947</v>
          </cell>
          <cell r="J259"/>
          <cell r="K259"/>
        </row>
        <row r="260">
          <cell r="A260" t="str">
            <v>RHNM-SHSTG-ELCHP</v>
          </cell>
          <cell r="B260" t="str">
            <v>VAR_ncap</v>
          </cell>
          <cell r="C260" t="str">
            <v>-</v>
          </cell>
          <cell r="D260">
            <v>1.3680781293864701E-5</v>
          </cell>
          <cell r="E260">
            <v>1.66284401975736E-5</v>
          </cell>
          <cell r="F260">
            <v>1.6453615350356901E-2</v>
          </cell>
          <cell r="G260">
            <v>1.3713115338101999E-2</v>
          </cell>
          <cell r="H260">
            <v>2.5779736107473399E-2</v>
          </cell>
          <cell r="I260">
            <v>3.62981555015758E-2</v>
          </cell>
          <cell r="J260"/>
          <cell r="K260"/>
        </row>
        <row r="261">
          <cell r="A261" t="str">
            <v>RHNM-SHSTG-ELCHP</v>
          </cell>
          <cell r="B261" t="str">
            <v>VAR_cap</v>
          </cell>
          <cell r="C261" t="str">
            <v>-</v>
          </cell>
          <cell r="D261">
            <v>1.3680781293864701E-5</v>
          </cell>
          <cell r="E261">
            <v>2.6307042061023491E-5</v>
          </cell>
          <cell r="F261">
            <v>1.6473851418423724E-2</v>
          </cell>
          <cell r="G261">
            <v>3.0177317547937437E-2</v>
          </cell>
          <cell r="H261">
            <v>4.7725664268740531E-2</v>
          </cell>
          <cell r="I261">
            <v>5.9088217691747373E-2</v>
          </cell>
          <cell r="J261"/>
          <cell r="K261"/>
        </row>
        <row r="262">
          <cell r="A262" t="str">
            <v>D-SCOM_LTH</v>
          </cell>
          <cell r="B262" t="str">
            <v>VAR_fout</v>
          </cell>
          <cell r="C262" t="str">
            <v>SCOM_LTH_DH</v>
          </cell>
          <cell r="D262">
            <v>5.6100019612470629</v>
          </cell>
          <cell r="E262">
            <v>6.0767035911851108</v>
          </cell>
          <cell r="F262">
            <v>5.927329426930628</v>
          </cell>
          <cell r="G262">
            <v>6.7886448761595863</v>
          </cell>
          <cell r="H262">
            <v>7.4384098249013153</v>
          </cell>
          <cell r="I262">
            <v>7.598040059595057</v>
          </cell>
          <cell r="J262"/>
          <cell r="K262"/>
        </row>
        <row r="263">
          <cell r="A263" t="str">
            <v>D-SCOM_LTH</v>
          </cell>
          <cell r="B263" t="str">
            <v>VAR_fin</v>
          </cell>
          <cell r="C263" t="str">
            <v>LTH</v>
          </cell>
          <cell r="D263">
            <v>6.0987778658224059</v>
          </cell>
          <cell r="E263">
            <v>6.6044050744883602</v>
          </cell>
          <cell r="F263">
            <v>6.4395206686292985</v>
          </cell>
          <cell r="G263">
            <v>7.3704232589750083</v>
          </cell>
          <cell r="H263">
            <v>8.0652851094412412</v>
          </cell>
          <cell r="I263">
            <v>8.2275822248214574</v>
          </cell>
          <cell r="J263"/>
        </row>
        <row r="264">
          <cell r="A264" t="str">
            <v>D-SCOM_LTH</v>
          </cell>
          <cell r="B264" t="str">
            <v>VAR_ncap</v>
          </cell>
          <cell r="C264" t="str">
            <v>-</v>
          </cell>
          <cell r="D264">
            <v>0.84970019009686104</v>
          </cell>
          <cell r="E264">
            <v>1.64461605818668E-8</v>
          </cell>
          <cell r="F264">
            <v>1.8814693025774099E-8</v>
          </cell>
          <cell r="G264">
            <v>2.17235351639106E-8</v>
          </cell>
          <cell r="H264">
            <v>3.48479903979814E-8</v>
          </cell>
          <cell r="I264">
            <v>4.2606942641674601E-8</v>
          </cell>
          <cell r="J264"/>
        </row>
        <row r="265">
          <cell r="A265" t="str">
            <v>D-SCOM_LTH</v>
          </cell>
          <cell r="B265" t="str">
            <v>VAR_cap</v>
          </cell>
          <cell r="C265" t="str">
            <v>-</v>
          </cell>
          <cell r="D265">
            <v>0.84970019009686104</v>
          </cell>
          <cell r="E265">
            <v>0.84970020654302203</v>
          </cell>
          <cell r="F265">
            <v>0.84970022535771506</v>
          </cell>
          <cell r="G265">
            <v>0.84970024708125003</v>
          </cell>
          <cell r="H265">
            <v>0.84970031388300105</v>
          </cell>
          <cell r="I265">
            <v>0.84970035648994402</v>
          </cell>
          <cell r="J265"/>
        </row>
        <row r="266">
          <cell r="A266" t="str">
            <v>ITOT-SWHBIOBR</v>
          </cell>
          <cell r="B266" t="str">
            <v>VAR_fout</v>
          </cell>
          <cell r="C266" t="str">
            <v>ITOT-SWH</v>
          </cell>
          <cell r="D266">
            <v>0.3105121282247954</v>
          </cell>
          <cell r="E266">
            <v>0.39251838756620644</v>
          </cell>
          <cell r="F266">
            <v>1.7089462957713817</v>
          </cell>
          <cell r="G266">
            <v>4.1053822349686504</v>
          </cell>
          <cell r="H266">
            <v>5.8858174944003609</v>
          </cell>
          <cell r="I266">
            <v>6.5146843200440898</v>
          </cell>
          <cell r="J266"/>
        </row>
        <row r="267">
          <cell r="A267" t="str">
            <v>ITOT-SWHBIOBR</v>
          </cell>
          <cell r="B267" t="str">
            <v>VAR_fin</v>
          </cell>
          <cell r="C267" t="str">
            <v>IBIO</v>
          </cell>
          <cell r="D267">
            <v>0.43672591874092204</v>
          </cell>
          <cell r="E267">
            <v>0.5520652427091518</v>
          </cell>
          <cell r="F267">
            <v>2.4035812880047565</v>
          </cell>
          <cell r="G267">
            <v>5.7740959704200439</v>
          </cell>
          <cell r="H267">
            <v>8.2782243240511413</v>
          </cell>
          <cell r="I267">
            <v>9.0481726667279023</v>
          </cell>
          <cell r="J267"/>
        </row>
        <row r="268">
          <cell r="A268" t="str">
            <v>ITOT-SWHBIOBR</v>
          </cell>
          <cell r="B268" t="str">
            <v>VAR_ncap</v>
          </cell>
          <cell r="C268" t="str">
            <v>-</v>
          </cell>
          <cell r="D268"/>
          <cell r="E268">
            <v>1.8208253433638601E-2</v>
          </cell>
          <cell r="F268">
            <v>6.6316778739341206E-2</v>
          </cell>
          <cell r="G268">
            <v>0.124812723650887</v>
          </cell>
          <cell r="H268">
            <v>0.32108225001104501</v>
          </cell>
          <cell r="I268">
            <v>0.16707383667898201</v>
          </cell>
          <cell r="J268"/>
        </row>
        <row r="269">
          <cell r="A269" t="str">
            <v>ITOT-SWHBIOBR</v>
          </cell>
          <cell r="B269" t="str">
            <v>VAR_cap</v>
          </cell>
          <cell r="C269" t="str">
            <v>-</v>
          </cell>
          <cell r="D269">
            <v>1.7013611085743299E-2</v>
          </cell>
          <cell r="E269">
            <v>3.5220542892163663E-2</v>
          </cell>
          <cell r="F269">
            <v>0.10153418648431373</v>
          </cell>
          <cell r="G269">
            <v>0.22634142524016121</v>
          </cell>
          <cell r="H269">
            <v>0.5102784398853506</v>
          </cell>
          <cell r="I269">
            <v>0.43909526997043857</v>
          </cell>
          <cell r="J269"/>
        </row>
        <row r="270">
          <cell r="A270" t="str">
            <v>RHNS-SHPLTBR</v>
          </cell>
          <cell r="B270" t="str">
            <v>VAR_fout</v>
          </cell>
          <cell r="C270" t="str">
            <v>RHNS-SHPLT</v>
          </cell>
          <cell r="D270"/>
          <cell r="E270"/>
          <cell r="F270">
            <v>2.6677539052686388E-3</v>
          </cell>
          <cell r="G270">
            <v>6.5174201830083796E-3</v>
          </cell>
          <cell r="H270">
            <v>1.2539625018648068E-2</v>
          </cell>
          <cell r="I270">
            <v>1.9334303728354381E-2</v>
          </cell>
          <cell r="J270"/>
          <cell r="K270"/>
        </row>
        <row r="271">
          <cell r="A271" t="str">
            <v>RHNS-SHPLTBR</v>
          </cell>
          <cell r="B271" t="str">
            <v>VAR_fin</v>
          </cell>
          <cell r="C271" t="str">
            <v>RPLT</v>
          </cell>
          <cell r="D271"/>
          <cell r="E271"/>
          <cell r="F271">
            <v>3.587909121635046E-3</v>
          </cell>
          <cell r="G271">
            <v>8.7268356273212753E-3</v>
          </cell>
          <cell r="H271">
            <v>1.6708934687222111E-2</v>
          </cell>
          <cell r="I271">
            <v>2.572594231316189E-2</v>
          </cell>
          <cell r="J271"/>
          <cell r="K271"/>
        </row>
        <row r="272">
          <cell r="A272" t="str">
            <v>RHNS-SHPLTBR</v>
          </cell>
          <cell r="B272" t="str">
            <v>VAR_ncap</v>
          </cell>
          <cell r="C272" t="str">
            <v>-</v>
          </cell>
          <cell r="D272"/>
          <cell r="E272">
            <v>1.71892073011754E-7</v>
          </cell>
          <cell r="F272">
            <v>2.14205683311408E-4</v>
          </cell>
          <cell r="G272">
            <v>2.7342657023702698E-4</v>
          </cell>
          <cell r="H272">
            <v>4.8951730932131701E-4</v>
          </cell>
          <cell r="I272">
            <v>1.0029916911028301E-3</v>
          </cell>
          <cell r="J272"/>
          <cell r="K272"/>
        </row>
        <row r="273">
          <cell r="A273" t="str">
            <v>RHNS-SHPLTBR</v>
          </cell>
          <cell r="B273" t="str">
            <v>VAR_cap</v>
          </cell>
          <cell r="C273" t="str">
            <v>-</v>
          </cell>
          <cell r="D273"/>
          <cell r="E273">
            <v>1.71892073011754E-7</v>
          </cell>
          <cell r="F273">
            <v>2.1433012603567912E-4</v>
          </cell>
          <cell r="G273">
            <v>4.8769381070135325E-4</v>
          </cell>
          <cell r="H273">
            <v>9.3222000868670705E-4</v>
          </cell>
          <cell r="I273">
            <v>1.4504901830056705E-3</v>
          </cell>
          <cell r="J273"/>
          <cell r="K273"/>
        </row>
        <row r="274">
          <cell r="A274" t="str">
            <v>D-RHNM_KEV_WOD_ELC_CHP</v>
          </cell>
          <cell r="B274" t="str">
            <v>VAR_fout</v>
          </cell>
          <cell r="C274" t="str">
            <v>ELC5</v>
          </cell>
          <cell r="D274"/>
          <cell r="E274"/>
          <cell r="F274"/>
          <cell r="G274">
            <v>4.8751600993824414E-4</v>
          </cell>
          <cell r="H274">
            <v>2.3626959067019106E-4</v>
          </cell>
          <cell r="I274">
            <v>1.3026620244352443E-4</v>
          </cell>
          <cell r="J274"/>
          <cell r="K274"/>
        </row>
        <row r="275">
          <cell r="A275" t="str">
            <v>D-RHNM_KEV_WOD_ELC_CHP</v>
          </cell>
          <cell r="B275" t="str">
            <v>VAR_fout</v>
          </cell>
          <cell r="C275" t="str">
            <v>RHNM_ELC</v>
          </cell>
          <cell r="D275"/>
          <cell r="E275"/>
          <cell r="F275"/>
          <cell r="G275">
            <v>1.2816189111404202E-4</v>
          </cell>
          <cell r="H275">
            <v>2.3616327435562921E-4</v>
          </cell>
          <cell r="I275">
            <v>1.3020085542911274E-4</v>
          </cell>
          <cell r="J275"/>
          <cell r="K275"/>
        </row>
        <row r="276">
          <cell r="A276" t="str">
            <v>D-RHNM_KEV_WOD_ELC_CHP</v>
          </cell>
          <cell r="B276" t="str">
            <v>VAR_fin</v>
          </cell>
          <cell r="C276" t="str">
            <v>RHNM_KEV_WOD_ELC_CHP</v>
          </cell>
          <cell r="D276"/>
          <cell r="E276"/>
          <cell r="F276"/>
          <cell r="G276">
            <v>6.1359679118072402E-4</v>
          </cell>
          <cell r="H276">
            <v>4.6819567195358124E-4</v>
          </cell>
          <cell r="I276">
            <v>2.5722486318739251E-4</v>
          </cell>
          <cell r="J276"/>
          <cell r="K276"/>
        </row>
        <row r="277">
          <cell r="A277" t="str">
            <v>SCOM-SHLTHCHPNGA</v>
          </cell>
          <cell r="B277" t="str">
            <v>VAR_fout</v>
          </cell>
          <cell r="C277" t="str">
            <v>SCOM-SHLTHC-NGA</v>
          </cell>
          <cell r="D277">
            <v>0.68565049736606376</v>
          </cell>
          <cell r="E277">
            <v>0.74269060884416782</v>
          </cell>
          <cell r="F277"/>
          <cell r="G277"/>
          <cell r="H277"/>
          <cell r="I277"/>
          <cell r="J277"/>
          <cell r="K277"/>
        </row>
        <row r="278">
          <cell r="A278" t="str">
            <v>SCOM-SHLTHCHPNGA</v>
          </cell>
          <cell r="B278" t="str">
            <v>VAR_fin</v>
          </cell>
          <cell r="C278" t="str">
            <v>SCOMLTHCHPC</v>
          </cell>
          <cell r="D278">
            <v>0.68565049736606376</v>
          </cell>
          <cell r="E278">
            <v>0.74269060884416782</v>
          </cell>
          <cell r="F278"/>
          <cell r="G278"/>
          <cell r="H278"/>
          <cell r="I278"/>
          <cell r="J278"/>
        </row>
        <row r="279">
          <cell r="A279" t="str">
            <v>SCOM-SHLTHCHPNGA</v>
          </cell>
          <cell r="B279" t="str">
            <v>VAR_fin</v>
          </cell>
          <cell r="C279" t="str">
            <v>SCOM_LTH_CHPNGA_ON</v>
          </cell>
          <cell r="D279">
            <v>0.69257625996572114</v>
          </cell>
          <cell r="E279">
            <v>0.75019253418602894</v>
          </cell>
          <cell r="F279"/>
          <cell r="G279"/>
          <cell r="H279"/>
          <cell r="I279"/>
          <cell r="J279"/>
          <cell r="K279"/>
        </row>
        <row r="280">
          <cell r="A280" t="str">
            <v>SCOM-SHLTHCHPNGA</v>
          </cell>
          <cell r="B280" t="str">
            <v>VAR_ncap</v>
          </cell>
          <cell r="C280" t="str">
            <v>-</v>
          </cell>
          <cell r="D280">
            <v>3.17410022146645E-8</v>
          </cell>
          <cell r="E280">
            <v>9.3171508497838992E-3</v>
          </cell>
          <cell r="F280">
            <v>1.0936980234849401E-3</v>
          </cell>
          <cell r="G280">
            <v>1.18881515145852E-3</v>
          </cell>
          <cell r="H280">
            <v>1.5050106553667899E-3</v>
          </cell>
          <cell r="I280">
            <v>7.6061445282514802E-5</v>
          </cell>
          <cell r="J280"/>
          <cell r="K280"/>
        </row>
        <row r="281">
          <cell r="A281" t="str">
            <v>SCOM-SHLTHCHPNGA</v>
          </cell>
          <cell r="B281" t="str">
            <v>VAR_cap</v>
          </cell>
          <cell r="C281" t="str">
            <v>-</v>
          </cell>
          <cell r="D281">
            <v>7.5969300699529119E-2</v>
          </cell>
          <cell r="E281">
            <v>5.7387941084783123E-2</v>
          </cell>
          <cell r="F281">
            <v>1.9966782432791069E-3</v>
          </cell>
          <cell r="G281">
            <v>2.0886485490617945E-3</v>
          </cell>
          <cell r="H281">
            <v>2.3690362840830901E-3</v>
          </cell>
          <cell r="I281">
            <v>2.0078573361761998E-4</v>
          </cell>
          <cell r="J281"/>
        </row>
        <row r="282">
          <cell r="A282" t="str">
            <v>ITOT-PROCESSCO2</v>
          </cell>
          <cell r="B282" t="str">
            <v>VAR_fout</v>
          </cell>
          <cell r="C282" t="str">
            <v>CO2</v>
          </cell>
          <cell r="D282">
            <v>2089.34680048464</v>
          </cell>
          <cell r="E282">
            <v>2111.0131698740802</v>
          </cell>
          <cell r="F282">
            <v>2102.26947106126</v>
          </cell>
          <cell r="G282">
            <v>2093.6570624126398</v>
          </cell>
          <cell r="H282">
            <v>2077.4128471263102</v>
          </cell>
          <cell r="I282">
            <v>2063.74855625499</v>
          </cell>
          <cell r="J282"/>
          <cell r="K282"/>
        </row>
        <row r="283">
          <cell r="A283" t="str">
            <v>ITOT-PROCESSCO2</v>
          </cell>
          <cell r="B283" t="str">
            <v>VAR_fout</v>
          </cell>
          <cell r="C283" t="str">
            <v>CO2P</v>
          </cell>
          <cell r="D283">
            <v>2089.34680048464</v>
          </cell>
          <cell r="E283">
            <v>2111.0131698740802</v>
          </cell>
          <cell r="F283">
            <v>2102.26947106126</v>
          </cell>
          <cell r="G283">
            <v>2093.6570624126398</v>
          </cell>
          <cell r="H283">
            <v>2077.4128471263102</v>
          </cell>
          <cell r="I283">
            <v>2063.74855625499</v>
          </cell>
          <cell r="J283"/>
          <cell r="K283"/>
        </row>
        <row r="284">
          <cell r="A284" t="str">
            <v>RHNM-SHWODBR</v>
          </cell>
          <cell r="B284" t="str">
            <v>VAR_fout</v>
          </cell>
          <cell r="C284" t="str">
            <v>RHNM-SHWOD</v>
          </cell>
          <cell r="D284"/>
          <cell r="E284">
            <v>8.1139115528370179E-2</v>
          </cell>
          <cell r="F284">
            <v>0.10172026176322455</v>
          </cell>
          <cell r="G284">
            <v>0.18030393446624568</v>
          </cell>
          <cell r="H284">
            <v>0.31128840510762879</v>
          </cell>
          <cell r="I284">
            <v>0.42119077493876222</v>
          </cell>
          <cell r="J284"/>
          <cell r="K284"/>
        </row>
        <row r="285">
          <cell r="A285" t="str">
            <v>RHNM-SHWODBR</v>
          </cell>
          <cell r="B285" t="str">
            <v>VAR_fin</v>
          </cell>
          <cell r="C285" t="str">
            <v>RHNMWODBRC</v>
          </cell>
          <cell r="D285"/>
          <cell r="E285">
            <v>8.1139115528370179E-2</v>
          </cell>
          <cell r="F285">
            <v>0.10172026176322455</v>
          </cell>
          <cell r="G285">
            <v>0.18030393446624568</v>
          </cell>
          <cell r="H285">
            <v>0.31128840510762879</v>
          </cell>
          <cell r="I285">
            <v>0.42119077493876222</v>
          </cell>
          <cell r="J285"/>
          <cell r="K285"/>
        </row>
        <row r="286">
          <cell r="A286" t="str">
            <v>RHNM-SHWODBR</v>
          </cell>
          <cell r="B286" t="str">
            <v>VAR_fin</v>
          </cell>
          <cell r="C286" t="str">
            <v>RWOD</v>
          </cell>
          <cell r="D286"/>
          <cell r="E286">
            <v>0.11269321601162531</v>
          </cell>
          <cell r="F286">
            <v>0.1370010944032187</v>
          </cell>
          <cell r="G286">
            <v>0.24191800973222513</v>
          </cell>
          <cell r="H286">
            <v>0.41538593039596244</v>
          </cell>
          <cell r="I286">
            <v>0.56204059981496035</v>
          </cell>
          <cell r="J286"/>
        </row>
        <row r="287">
          <cell r="A287" t="str">
            <v>RHNM-SHWODBR</v>
          </cell>
          <cell r="B287" t="str">
            <v>VAR_ncap</v>
          </cell>
          <cell r="C287" t="str">
            <v>-</v>
          </cell>
          <cell r="D287"/>
          <cell r="E287">
            <v>6.4220528908221098E-3</v>
          </cell>
          <cell r="F287">
            <v>7.5876948381163097E-3</v>
          </cell>
          <cell r="G287"/>
          <cell r="H287"/>
          <cell r="I287"/>
          <cell r="J287"/>
          <cell r="K287"/>
        </row>
        <row r="288">
          <cell r="A288" t="str">
            <v>RHNM-SHWODBR</v>
          </cell>
          <cell r="B288" t="str">
            <v>VAR_cap</v>
          </cell>
          <cell r="C288" t="str">
            <v>-</v>
          </cell>
          <cell r="D288"/>
          <cell r="E288">
            <v>6.4220528908221098E-3</v>
          </cell>
          <cell r="F288">
            <v>1.4009633586359226E-2</v>
          </cell>
          <cell r="G288">
            <v>1.4009578673777574E-2</v>
          </cell>
          <cell r="H288">
            <v>7.7307460539581083E-2</v>
          </cell>
          <cell r="I288">
            <v>3.2699100605029334E-2</v>
          </cell>
          <cell r="J288"/>
        </row>
        <row r="289">
          <cell r="A289" t="str">
            <v>RHNS-SHDEM</v>
          </cell>
          <cell r="B289" t="str">
            <v>VAR_fout</v>
          </cell>
          <cell r="C289" t="str">
            <v>RHNS-SHD</v>
          </cell>
          <cell r="D289"/>
          <cell r="E289">
            <v>0.40468474157116097</v>
          </cell>
          <cell r="F289">
            <v>1.4281450560122797</v>
          </cell>
          <cell r="G289">
            <v>2.8380324304627322</v>
          </cell>
          <cell r="H289">
            <v>4.3643144628521391</v>
          </cell>
          <cell r="I289">
            <v>5.3325804779371611</v>
          </cell>
          <cell r="J289"/>
          <cell r="K289"/>
        </row>
        <row r="290">
          <cell r="A290" t="str">
            <v>RHNS-SHDEM</v>
          </cell>
          <cell r="B290" t="str">
            <v>VAR_fin</v>
          </cell>
          <cell r="C290" t="str">
            <v>RHNS-SHLTHC-WOD</v>
          </cell>
          <cell r="D290"/>
          <cell r="E290">
            <v>5.5143988810552178E-6</v>
          </cell>
          <cell r="F290">
            <v>6.7744898183485526E-6</v>
          </cell>
          <cell r="G290"/>
          <cell r="H290"/>
          <cell r="I290">
            <v>2.4424197779673066E-5</v>
          </cell>
          <cell r="J290"/>
          <cell r="K290"/>
        </row>
        <row r="291">
          <cell r="A291" t="str">
            <v>RHNS-SHDEM</v>
          </cell>
          <cell r="B291" t="str">
            <v>VAR_fin</v>
          </cell>
          <cell r="C291" t="str">
            <v>RHNS-SHLFO</v>
          </cell>
          <cell r="D291"/>
          <cell r="E291">
            <v>5.4878207363570778E-5</v>
          </cell>
          <cell r="F291">
            <v>4.2830834613788352E-2</v>
          </cell>
          <cell r="G291">
            <v>6.5871970453261874E-2</v>
          </cell>
          <cell r="H291">
            <v>7.4190965315201085E-2</v>
          </cell>
          <cell r="I291"/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RHNS-SHNGAH</v>
          </cell>
          <cell r="D292"/>
          <cell r="E292">
            <v>7.7957754326994872E-6</v>
          </cell>
          <cell r="F292">
            <v>0.17084053914265673</v>
          </cell>
          <cell r="G292">
            <v>0.54826877787181427</v>
          </cell>
          <cell r="H292">
            <v>0.97790339481816813</v>
          </cell>
          <cell r="I292">
            <v>1.300467352696336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RHNS-SHCON</v>
          </cell>
          <cell r="D293"/>
          <cell r="E293"/>
          <cell r="F293">
            <v>4.7880257225497405E-4</v>
          </cell>
          <cell r="G293">
            <v>4.7671329741395021E-4</v>
          </cell>
          <cell r="H293">
            <v>4.4901908493827983E-3</v>
          </cell>
          <cell r="I293">
            <v>6.8445849693653013E-2</v>
          </cell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RHNS-SHWOD</v>
          </cell>
          <cell r="D294"/>
          <cell r="E294">
            <v>2.6539384022765712E-2</v>
          </cell>
          <cell r="F294">
            <v>5.3751429644542034E-2</v>
          </cell>
          <cell r="G294">
            <v>0.10371844735292082</v>
          </cell>
          <cell r="H294">
            <v>0.16697940935616123</v>
          </cell>
          <cell r="I294">
            <v>0.21003134502354742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RHNS-SHNST</v>
          </cell>
          <cell r="D295"/>
          <cell r="E295">
            <v>7.3429431678978211E-6</v>
          </cell>
          <cell r="F295">
            <v>6.7944671730283483E-5</v>
          </cell>
          <cell r="G295">
            <v>4.3773327723126979E-5</v>
          </cell>
          <cell r="H295">
            <v>6.8610322532762395E-6</v>
          </cell>
          <cell r="I295">
            <v>4.6044891657820626E-5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RHNS-SHPLT</v>
          </cell>
          <cell r="D296"/>
          <cell r="E296">
            <v>7.6947817400984742E-6</v>
          </cell>
          <cell r="F296">
            <v>2.6705424729681275E-3</v>
          </cell>
          <cell r="G296">
            <v>6.5030242382875594E-3</v>
          </cell>
          <cell r="H296">
            <v>1.2508728053740089E-2</v>
          </cell>
          <cell r="I296">
            <v>1.9295671562788282E-2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RHNS-SHLTHD</v>
          </cell>
          <cell r="D297"/>
          <cell r="E297">
            <v>5.3889955141780722E-2</v>
          </cell>
          <cell r="F297">
            <v>3.9383238942538928E-3</v>
          </cell>
          <cell r="G297">
            <v>6.1619274532955766E-3</v>
          </cell>
          <cell r="H297">
            <v>8.7769402489012317E-3</v>
          </cell>
          <cell r="I297">
            <v>1.0345799144072068E-2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RHNS-SHELCB</v>
          </cell>
          <cell r="D298"/>
          <cell r="E298">
            <v>6.902717166069966E-2</v>
          </cell>
          <cell r="F298">
            <v>8.1713205995881891E-3</v>
          </cell>
          <cell r="G298">
            <v>1.7213777094330002E-2</v>
          </cell>
          <cell r="H298">
            <v>2.7823635896512881E-2</v>
          </cell>
          <cell r="I298">
            <v>3.2125173242839797E-2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RHNS-SHELCH</v>
          </cell>
          <cell r="D299"/>
          <cell r="E299">
            <v>0.13882495466933967</v>
          </cell>
          <cell r="F299">
            <v>1.0914646615954213</v>
          </cell>
          <cell r="G299">
            <v>1.9788961862992764</v>
          </cell>
          <cell r="H299">
            <v>2.9293752899146162</v>
          </cell>
          <cell r="I299">
            <v>3.5179165407767279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RHNS-SHSOL</v>
          </cell>
          <cell r="D300"/>
          <cell r="E300">
            <v>1.3396525838276878E-2</v>
          </cell>
          <cell r="F300">
            <v>1.7943189661110727E-4</v>
          </cell>
          <cell r="G300">
            <v>2.7678597698328213E-4</v>
          </cell>
          <cell r="H300">
            <v>4.4026579876798769E-4</v>
          </cell>
          <cell r="I300">
            <v>7.3934033040236281E-4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RHNS-SHLTHC-NGA</v>
          </cell>
          <cell r="D301"/>
          <cell r="E301">
            <v>8.603862483496259E-4</v>
          </cell>
          <cell r="F301">
            <v>6.8726791002209658E-6</v>
          </cell>
          <cell r="G301">
            <v>3.849799424089121E-5</v>
          </cell>
          <cell r="H301">
            <v>9.2725382597470948E-5</v>
          </cell>
          <cell r="I301">
            <v>2.4042094995328219E-6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RHNS-SHNGA</v>
          </cell>
          <cell r="D302"/>
          <cell r="E302">
            <v>0.10211329882994422</v>
          </cell>
          <cell r="F302">
            <v>5.3841240489656231E-2</v>
          </cell>
          <cell r="G302">
            <v>0.11065033306403996</v>
          </cell>
          <cell r="H302">
            <v>0.16180297227449339</v>
          </cell>
          <cell r="I302">
            <v>0.17320366690200684</v>
          </cell>
          <cell r="J302"/>
          <cell r="K302"/>
        </row>
        <row r="303">
          <cell r="A303" t="str">
            <v>RES-ELCSPEC</v>
          </cell>
          <cell r="B303" t="str">
            <v>VAR_fout</v>
          </cell>
          <cell r="C303" t="str">
            <v>RHSA-ELS</v>
          </cell>
          <cell r="D303">
            <v>44.576906262745908</v>
          </cell>
          <cell r="E303">
            <v>44.861180361396379</v>
          </cell>
          <cell r="F303">
            <v>49.523419334167684</v>
          </cell>
          <cell r="G303">
            <v>50.016871710112056</v>
          </cell>
          <cell r="H303">
            <v>50.54049017081514</v>
          </cell>
          <cell r="I303">
            <v>50.053465794020298</v>
          </cell>
          <cell r="J303"/>
          <cell r="K303"/>
        </row>
        <row r="304">
          <cell r="A304" t="str">
            <v>RES-ELCSPEC</v>
          </cell>
          <cell r="B304" t="str">
            <v>VAR_fin</v>
          </cell>
          <cell r="C304" t="str">
            <v>RHSA_ELC</v>
          </cell>
          <cell r="D304">
            <v>44.576906262745908</v>
          </cell>
          <cell r="E304">
            <v>44.861180361396379</v>
          </cell>
          <cell r="F304">
            <v>49.523419334167684</v>
          </cell>
          <cell r="G304">
            <v>50.016871710112056</v>
          </cell>
          <cell r="H304">
            <v>50.54049017081514</v>
          </cell>
          <cell r="I304">
            <v>50.053465794020298</v>
          </cell>
          <cell r="J304"/>
          <cell r="K304"/>
        </row>
        <row r="305">
          <cell r="A305" t="str">
            <v>RES-ELCSPEC</v>
          </cell>
          <cell r="B305" t="str">
            <v>VAR_ncap</v>
          </cell>
          <cell r="C305" t="str">
            <v>-</v>
          </cell>
          <cell r="D305">
            <v>0.193211792844385</v>
          </cell>
          <cell r="E305">
            <v>2.1135015281950101E-6</v>
          </cell>
          <cell r="F305">
            <v>0.47633789723539199</v>
          </cell>
          <cell r="G305">
            <v>5.2158132244075499E-2</v>
          </cell>
          <cell r="H305">
            <v>5.1727148148726504E-3</v>
          </cell>
          <cell r="I305">
            <v>4.56910483765376</v>
          </cell>
          <cell r="J305"/>
        </row>
        <row r="306">
          <cell r="A306" t="str">
            <v>RES-ELCSPEC</v>
          </cell>
          <cell r="B306" t="str">
            <v>VAR_cap</v>
          </cell>
          <cell r="C306" t="str">
            <v>-</v>
          </cell>
          <cell r="D306">
            <v>4.7117484769748543</v>
          </cell>
          <cell r="E306">
            <v>4.742368566673143</v>
          </cell>
          <cell r="F306">
            <v>5.2345915552045987</v>
          </cell>
          <cell r="G306">
            <v>5.286748881987033</v>
          </cell>
          <cell r="H306">
            <v>5.3420949282883052</v>
          </cell>
          <cell r="I306">
            <v>5.290616425370783</v>
          </cell>
          <cell r="J306"/>
          <cell r="K306"/>
        </row>
        <row r="307">
          <cell r="A307" t="str">
            <v>SCOM-SHCONBR1</v>
          </cell>
          <cell r="B307" t="str">
            <v>VAR_fout</v>
          </cell>
          <cell r="C307" t="str">
            <v>SCOM-SHCON</v>
          </cell>
          <cell r="D307"/>
          <cell r="E307">
            <v>1.5197508833075237</v>
          </cell>
          <cell r="F307">
            <v>0.49152232630500037</v>
          </cell>
          <cell r="G307">
            <v>0.88903193820329074</v>
          </cell>
          <cell r="H307">
            <v>2.1833970657596011</v>
          </cell>
          <cell r="I307">
            <v>2.6177926851330415</v>
          </cell>
          <cell r="J307"/>
        </row>
        <row r="308">
          <cell r="A308" t="str">
            <v>SCOM-SHCONBR1</v>
          </cell>
          <cell r="B308" t="str">
            <v>VAR_fin</v>
          </cell>
          <cell r="C308" t="str">
            <v>CON</v>
          </cell>
          <cell r="D308"/>
          <cell r="E308">
            <v>1.5197508833075237</v>
          </cell>
          <cell r="F308">
            <v>0.49152232630500037</v>
          </cell>
          <cell r="G308">
            <v>0.88903193820329074</v>
          </cell>
          <cell r="H308">
            <v>2.1833970657596011</v>
          </cell>
          <cell r="I308">
            <v>2.6177926851330415</v>
          </cell>
          <cell r="J308"/>
          <cell r="K308"/>
        </row>
        <row r="309">
          <cell r="A309" t="str">
            <v>SCOM-SHCONBR1</v>
          </cell>
          <cell r="B309" t="str">
            <v>VAR_ncap</v>
          </cell>
          <cell r="C309" t="str">
            <v>-</v>
          </cell>
          <cell r="D309"/>
          <cell r="E309">
            <v>0.11743134377376301</v>
          </cell>
          <cell r="F309">
            <v>4.5258025637782602E-8</v>
          </cell>
          <cell r="G309">
            <v>6.3073319876597803E-8</v>
          </cell>
          <cell r="H309">
            <v>5.29030941935155E-2</v>
          </cell>
          <cell r="I309">
            <v>9.3188452081250303E-2</v>
          </cell>
          <cell r="J309"/>
          <cell r="K309"/>
        </row>
        <row r="310">
          <cell r="A310" t="str">
            <v>SCOM-SHCONBR1</v>
          </cell>
          <cell r="B310" t="str">
            <v>VAR_cap</v>
          </cell>
          <cell r="C310" t="str">
            <v>-</v>
          </cell>
          <cell r="D310"/>
          <cell r="E310">
            <v>0.11743134377376301</v>
          </cell>
          <cell r="F310">
            <v>0.1174312820818961</v>
          </cell>
          <cell r="G310">
            <v>0.11743123618964747</v>
          </cell>
          <cell r="H310">
            <v>0.17033462736672439</v>
          </cell>
          <cell r="I310">
            <v>0.21397897504994115</v>
          </cell>
          <cell r="J310"/>
          <cell r="K310"/>
        </row>
        <row r="311">
          <cell r="A311" t="str">
            <v>RHSA-WHSTG-SOL</v>
          </cell>
          <cell r="B311" t="str">
            <v>VAR_fout</v>
          </cell>
          <cell r="C311" t="str">
            <v>RHSA-WHASOL</v>
          </cell>
          <cell r="D311">
            <v>8.2672798949669708E-6</v>
          </cell>
          <cell r="E311">
            <v>1.3622334373409819E-6</v>
          </cell>
          <cell r="F311">
            <v>6.1491673310687719E-3</v>
          </cell>
          <cell r="G311">
            <v>9.2114763006202471E-2</v>
          </cell>
          <cell r="H311">
            <v>0.23022188941525884</v>
          </cell>
          <cell r="I311">
            <v>0.23010000916640347</v>
          </cell>
          <cell r="J311"/>
        </row>
        <row r="312">
          <cell r="A312" t="str">
            <v>RHSA-WHSTG-SOL</v>
          </cell>
          <cell r="B312" t="str">
            <v>VAR_fin</v>
          </cell>
          <cell r="C312" t="str">
            <v>RHSA-WHASOL</v>
          </cell>
          <cell r="D312">
            <v>4.7231742046052599E-8</v>
          </cell>
          <cell r="E312">
            <v>5.5394893748295687E-6</v>
          </cell>
          <cell r="F312">
            <v>6.1525934399853013E-3</v>
          </cell>
          <cell r="G312">
            <v>9.2119448389450437E-2</v>
          </cell>
          <cell r="H312">
            <v>0.23023054836603793</v>
          </cell>
          <cell r="I312">
            <v>0.23010837352990218</v>
          </cell>
          <cell r="J312"/>
        </row>
        <row r="313">
          <cell r="A313" t="str">
            <v>RHSA-WHSTG-SOL</v>
          </cell>
          <cell r="B313" t="str">
            <v>VAR_ncap</v>
          </cell>
          <cell r="C313" t="str">
            <v>-</v>
          </cell>
          <cell r="D313">
            <v>3.0604106181245398E-3</v>
          </cell>
          <cell r="E313">
            <v>7.5567757325080503E-2</v>
          </cell>
          <cell r="F313">
            <v>7.64739409348629E-8</v>
          </cell>
          <cell r="G313">
            <v>1.5990135951140501E-7</v>
          </cell>
          <cell r="H313">
            <v>4.58152426688926E-2</v>
          </cell>
          <cell r="I313">
            <v>3.8155168655876599E-2</v>
          </cell>
          <cell r="J313"/>
          <cell r="K313"/>
        </row>
        <row r="314">
          <cell r="A314" t="str">
            <v>RHSA-WHSTG-SOL</v>
          </cell>
          <cell r="B314" t="str">
            <v>VAR_cap</v>
          </cell>
          <cell r="C314" t="str">
            <v>-</v>
          </cell>
          <cell r="D314">
            <v>3.0614731710881366E-3</v>
          </cell>
          <cell r="E314">
            <v>7.8629230496168601E-2</v>
          </cell>
          <cell r="F314">
            <v>7.8629306970109503E-2</v>
          </cell>
          <cell r="G314">
            <v>7.8629466871469003E-2</v>
          </cell>
          <cell r="H314">
            <v>6.9351595645296499E-2</v>
          </cell>
          <cell r="I314">
            <v>8.1360525661358998E-2</v>
          </cell>
          <cell r="J314"/>
        </row>
        <row r="315">
          <cell r="A315" t="str">
            <v>SCOM-SHCONBR2</v>
          </cell>
          <cell r="B315" t="str">
            <v>VAR_fout</v>
          </cell>
          <cell r="C315" t="str">
            <v>SCOM-SHCON</v>
          </cell>
          <cell r="D315"/>
          <cell r="E315">
            <v>2.3670421009614571</v>
          </cell>
          <cell r="F315">
            <v>0.70521830298121879</v>
          </cell>
          <cell r="G315">
            <v>1.3984210923454057</v>
          </cell>
          <cell r="H315">
            <v>2.34524796210157</v>
          </cell>
          <cell r="I315">
            <v>4.0772688021201944</v>
          </cell>
          <cell r="J315"/>
        </row>
        <row r="316">
          <cell r="A316" t="str">
            <v>SCOM-SHCONBR2</v>
          </cell>
          <cell r="B316" t="str">
            <v>VAR_fin</v>
          </cell>
          <cell r="C316" t="str">
            <v>CON</v>
          </cell>
          <cell r="D316"/>
          <cell r="E316">
            <v>2.3670421009614571</v>
          </cell>
          <cell r="F316">
            <v>0.70521830298121879</v>
          </cell>
          <cell r="G316">
            <v>1.3984210923454057</v>
          </cell>
          <cell r="H316">
            <v>2.34524796210157</v>
          </cell>
          <cell r="I316">
            <v>4.0772688021201944</v>
          </cell>
          <cell r="J316"/>
          <cell r="K316"/>
        </row>
        <row r="317">
          <cell r="A317" t="str">
            <v>SCOM-SHCONBR2</v>
          </cell>
          <cell r="B317" t="str">
            <v>VAR_ncap</v>
          </cell>
          <cell r="C317" t="str">
            <v>-</v>
          </cell>
          <cell r="D317"/>
          <cell r="E317">
            <v>0.182901893660953</v>
          </cell>
          <cell r="F317">
            <v>4.1368748040045597E-8</v>
          </cell>
          <cell r="G317">
            <v>5.7541963991506802E-8</v>
          </cell>
          <cell r="H317">
            <v>2.3777460779085499E-6</v>
          </cell>
          <cell r="I317">
            <v>0.210285507133877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VAR_cap</v>
          </cell>
          <cell r="C318" t="str">
            <v>-</v>
          </cell>
          <cell r="D318"/>
          <cell r="E318">
            <v>0.182901893660953</v>
          </cell>
          <cell r="F318">
            <v>0.18290182722482787</v>
          </cell>
          <cell r="G318">
            <v>0.18290177533048219</v>
          </cell>
          <cell r="H318">
            <v>0.18290440741176223</v>
          </cell>
          <cell r="I318">
            <v>0.3160238556942796</v>
          </cell>
          <cell r="J318"/>
          <cell r="K318"/>
        </row>
        <row r="319">
          <cell r="A319" t="str">
            <v>SCOM-SHCONBR3</v>
          </cell>
          <cell r="B319" t="str">
            <v>VAR_fout</v>
          </cell>
          <cell r="C319" t="str">
            <v>SCOM-SHCON</v>
          </cell>
          <cell r="D319"/>
          <cell r="E319">
            <v>1.9020061139712245</v>
          </cell>
          <cell r="F319">
            <v>0.59071073524181628</v>
          </cell>
          <cell r="G319">
            <v>1.1224270875607258</v>
          </cell>
          <cell r="H319">
            <v>1.8825054773320771</v>
          </cell>
          <cell r="I319">
            <v>3.2762328471332172</v>
          </cell>
          <cell r="J319"/>
        </row>
        <row r="320">
          <cell r="A320" t="str">
            <v>SCOM-SHCONBR3</v>
          </cell>
          <cell r="B320" t="str">
            <v>VAR_fin</v>
          </cell>
          <cell r="C320" t="str">
            <v>CON</v>
          </cell>
          <cell r="E320">
            <v>1.9020061139712245</v>
          </cell>
          <cell r="F320">
            <v>0.59071073524181628</v>
          </cell>
          <cell r="G320">
            <v>1.1224270875607258</v>
          </cell>
          <cell r="H320">
            <v>1.8825054773320771</v>
          </cell>
          <cell r="I320">
            <v>3.2762328471332172</v>
          </cell>
          <cell r="J320"/>
        </row>
        <row r="321">
          <cell r="A321" t="str">
            <v>SCOM-SHCONBR3</v>
          </cell>
          <cell r="B321" t="str">
            <v>VAR_ncap</v>
          </cell>
          <cell r="C321" t="str">
            <v>-</v>
          </cell>
          <cell r="D321"/>
          <cell r="E321">
            <v>0.14696834008780699</v>
          </cell>
          <cell r="F321">
            <v>2.0953514181819299E-8</v>
          </cell>
          <cell r="G321">
            <v>2.8191984243670799E-8</v>
          </cell>
          <cell r="H321">
            <v>1.6111177143724901E-7</v>
          </cell>
          <cell r="I321">
            <v>0.16819998175359699</v>
          </cell>
          <cell r="J321"/>
          <cell r="K321"/>
        </row>
        <row r="322">
          <cell r="A322" t="str">
            <v>SCOM-SHCONBR3</v>
          </cell>
          <cell r="B322" t="str">
            <v>VAR_cap</v>
          </cell>
          <cell r="C322" t="str">
            <v>-</v>
          </cell>
          <cell r="D322"/>
          <cell r="E322">
            <v>0.14696834008780699</v>
          </cell>
          <cell r="F322">
            <v>0.14696825735809993</v>
          </cell>
          <cell r="G322">
            <v>0.1469681820422695</v>
          </cell>
          <cell r="H322">
            <v>0.14696844798267286</v>
          </cell>
          <cell r="I322">
            <v>0.25316272507497323</v>
          </cell>
          <cell r="J322"/>
          <cell r="K322"/>
        </row>
        <row r="323">
          <cell r="A323" t="str">
            <v>SCOM-SHCONBR4</v>
          </cell>
          <cell r="B323" t="str">
            <v>VAR_fout</v>
          </cell>
          <cell r="C323" t="str">
            <v>SCOM-SHCON</v>
          </cell>
          <cell r="D323"/>
          <cell r="E323">
            <v>0.522869158762722</v>
          </cell>
          <cell r="F323">
            <v>0.2036202745811303</v>
          </cell>
          <cell r="G323">
            <v>0.2883368342952552</v>
          </cell>
          <cell r="H323">
            <v>0.5131640855891475</v>
          </cell>
          <cell r="I323">
            <v>0.43064179043093648</v>
          </cell>
          <cell r="J323"/>
        </row>
        <row r="324">
          <cell r="A324" t="str">
            <v>SCOM-SHCONBR4</v>
          </cell>
          <cell r="B324" t="str">
            <v>VAR_fin</v>
          </cell>
          <cell r="C324" t="str">
            <v>CON</v>
          </cell>
          <cell r="D324"/>
          <cell r="E324">
            <v>0.522869158762722</v>
          </cell>
          <cell r="F324">
            <v>0.2036202745811303</v>
          </cell>
          <cell r="G324">
            <v>0.2883368342952552</v>
          </cell>
          <cell r="H324">
            <v>0.5131640855891475</v>
          </cell>
          <cell r="I324">
            <v>0.43064179043093648</v>
          </cell>
          <cell r="J324"/>
        </row>
        <row r="325">
          <cell r="A325" t="str">
            <v>SCOM-SHCONBR4</v>
          </cell>
          <cell r="B325" t="str">
            <v>VAR_ncap</v>
          </cell>
          <cell r="C325" t="str">
            <v>-</v>
          </cell>
          <cell r="D325"/>
          <cell r="E325">
            <v>4.0401826455438702E-2</v>
          </cell>
          <cell r="F325">
            <v>1.6873600743013401E-8</v>
          </cell>
          <cell r="G325">
            <v>2.21844448469077E-8</v>
          </cell>
          <cell r="H325">
            <v>1.07898803326238E-7</v>
          </cell>
          <cell r="I325">
            <v>9.9244004522152304E-3</v>
          </cell>
          <cell r="J325"/>
        </row>
        <row r="326">
          <cell r="A326" t="str">
            <v>SCOM-SHCONBR4</v>
          </cell>
          <cell r="B326" t="str">
            <v>VAR_cap</v>
          </cell>
          <cell r="C326" t="str">
            <v>-</v>
          </cell>
          <cell r="D326"/>
          <cell r="E326">
            <v>4.0401826455438702E-2</v>
          </cell>
          <cell r="F326">
            <v>4.0401745197769602E-2</v>
          </cell>
          <cell r="G326">
            <v>4.0401668307433698E-2</v>
          </cell>
          <cell r="H326">
            <v>4.0401862715109232E-2</v>
          </cell>
          <cell r="I326">
            <v>3.3280864445267115E-2</v>
          </cell>
          <cell r="J326"/>
          <cell r="K326"/>
        </row>
        <row r="327">
          <cell r="A327" t="str">
            <v>RHEM-SHNGABR</v>
          </cell>
          <cell r="B327" t="str">
            <v>VAR_fout</v>
          </cell>
          <cell r="C327" t="str">
            <v>CO2_R</v>
          </cell>
          <cell r="D327">
            <v>1127.9632145948699</v>
          </cell>
          <cell r="E327">
            <v>1142.04171208466</v>
          </cell>
          <cell r="F327">
            <v>1319.1097602888401</v>
          </cell>
          <cell r="G327">
            <v>1110.6152566119499</v>
          </cell>
          <cell r="H327">
            <v>669.21878760101504</v>
          </cell>
          <cell r="I327">
            <v>295.31796976473402</v>
          </cell>
          <cell r="J327"/>
          <cell r="K327"/>
        </row>
        <row r="328">
          <cell r="A328" t="str">
            <v>RHEM-SHNGABR</v>
          </cell>
          <cell r="B328" t="str">
            <v>VAR_fout</v>
          </cell>
          <cell r="C328" t="str">
            <v>RHEM-SHNGA</v>
          </cell>
          <cell r="D328">
            <v>18.999380387679469</v>
          </cell>
          <cell r="E328">
            <v>19.236518200007531</v>
          </cell>
          <cell r="F328">
            <v>22.068570569335364</v>
          </cell>
          <cell r="G328">
            <v>18.695989254950536</v>
          </cell>
          <cell r="H328">
            <v>11.285968159435567</v>
          </cell>
          <cell r="I328">
            <v>4.9828109900395177</v>
          </cell>
          <cell r="J328"/>
        </row>
        <row r="329">
          <cell r="A329" t="str">
            <v>RHEM-SHNGABR</v>
          </cell>
          <cell r="B329" t="str">
            <v>VAR_fin</v>
          </cell>
          <cell r="C329" t="str">
            <v>RNGA</v>
          </cell>
          <cell r="D329">
            <v>19.999347776504699</v>
          </cell>
          <cell r="E329">
            <v>20.248966526323727</v>
          </cell>
          <cell r="F329">
            <v>23.388470927107093</v>
          </cell>
          <cell r="G329">
            <v>19.691759869006212</v>
          </cell>
          <cell r="H329">
            <v>11.865581340443553</v>
          </cell>
          <cell r="I329">
            <v>5.2361342156867785</v>
          </cell>
          <cell r="J329"/>
          <cell r="K329"/>
        </row>
        <row r="330">
          <cell r="A330" t="str">
            <v>RHEM-SHNGABR</v>
          </cell>
          <cell r="B330" t="str">
            <v>VAR_ncap</v>
          </cell>
          <cell r="C330" t="str">
            <v>-</v>
          </cell>
          <cell r="D330"/>
          <cell r="E330">
            <v>1.8995630966841801E-2</v>
          </cell>
          <cell r="F330">
            <v>0.19252300696275801</v>
          </cell>
          <cell r="G330">
            <v>2.30655466749516E-7</v>
          </cell>
          <cell r="H330">
            <v>0.25229235221389801</v>
          </cell>
          <cell r="I330">
            <v>1.4543573053391399E-7</v>
          </cell>
          <cell r="J330"/>
          <cell r="K330"/>
        </row>
        <row r="331">
          <cell r="A331" t="str">
            <v>RHEM-SHNGABR</v>
          </cell>
          <cell r="B331" t="str">
            <v>VAR_cap</v>
          </cell>
          <cell r="C331" t="str">
            <v>-</v>
          </cell>
          <cell r="D331">
            <v>1.34683498965227</v>
          </cell>
          <cell r="E331">
            <v>1.3658305333566974</v>
          </cell>
          <cell r="F331">
            <v>1.558353481847166</v>
          </cell>
          <cell r="G331">
            <v>1.5583407684355854</v>
          </cell>
          <cell r="H331">
            <v>0.79696011849033166</v>
          </cell>
          <cell r="I331">
            <v>0.39906355955207234</v>
          </cell>
          <cell r="J331"/>
        </row>
        <row r="332">
          <cell r="A332" t="str">
            <v>SCOM-SHCONBR5</v>
          </cell>
          <cell r="B332" t="str">
            <v>VAR_fout</v>
          </cell>
          <cell r="C332" t="str">
            <v>SCOM-SHCON</v>
          </cell>
          <cell r="D332"/>
          <cell r="E332">
            <v>0.652597707833802</v>
          </cell>
          <cell r="F332">
            <v>0.24480265760592546</v>
          </cell>
          <cell r="G332">
            <v>0.365311484103157</v>
          </cell>
          <cell r="H332">
            <v>0.64151405433320563</v>
          </cell>
          <cell r="I332">
            <v>0.37720629163057728</v>
          </cell>
          <cell r="J332"/>
          <cell r="K332"/>
        </row>
        <row r="333">
          <cell r="A333" t="str">
            <v>SCOM-SHCONBR5</v>
          </cell>
          <cell r="B333" t="str">
            <v>VAR_fin</v>
          </cell>
          <cell r="C333" t="str">
            <v>CON</v>
          </cell>
          <cell r="D333"/>
          <cell r="E333">
            <v>0.652597707833802</v>
          </cell>
          <cell r="F333">
            <v>0.24480265760592546</v>
          </cell>
          <cell r="G333">
            <v>0.365311484103157</v>
          </cell>
          <cell r="H333">
            <v>0.64151405433320563</v>
          </cell>
          <cell r="I333">
            <v>0.37720629163057728</v>
          </cell>
          <cell r="J333"/>
          <cell r="K333"/>
        </row>
        <row r="334">
          <cell r="A334" t="str">
            <v>SCOM-SHCONBR5</v>
          </cell>
          <cell r="B334" t="str">
            <v>VAR_ncap</v>
          </cell>
          <cell r="C334" t="str">
            <v>-</v>
          </cell>
          <cell r="D334"/>
          <cell r="E334">
            <v>5.0425996046782801E-2</v>
          </cell>
          <cell r="F334">
            <v>1.5206893442098101E-8</v>
          </cell>
          <cell r="G334">
            <v>1.9135222187242599E-8</v>
          </cell>
          <cell r="H334">
            <v>7.6983981611857102E-8</v>
          </cell>
          <cell r="I334">
            <v>4.2297147959530301E-7</v>
          </cell>
          <cell r="J334"/>
          <cell r="K334"/>
        </row>
        <row r="335">
          <cell r="A335" t="str">
            <v>SCOM-SHCONBR5</v>
          </cell>
          <cell r="B335" t="str">
            <v>VAR_cap</v>
          </cell>
          <cell r="C335" t="str">
            <v>-</v>
          </cell>
          <cell r="D335"/>
          <cell r="E335">
            <v>5.0425996046782801E-2</v>
          </cell>
          <cell r="F335">
            <v>5.0425912136159497E-2</v>
          </cell>
          <cell r="G335">
            <v>5.0425831414447245E-2</v>
          </cell>
          <cell r="H335">
            <v>5.0425981524983045E-2</v>
          </cell>
          <cell r="I335">
            <v>2.9151822669916765E-2</v>
          </cell>
          <cell r="J335"/>
          <cell r="K335"/>
        </row>
        <row r="336">
          <cell r="A336" t="str">
            <v>RHES-SHSTG-ELCHP</v>
          </cell>
          <cell r="B336" t="str">
            <v>VAR_fout</v>
          </cell>
          <cell r="C336" t="str">
            <v>RHES-SHAELCH</v>
          </cell>
          <cell r="D336">
            <v>3.1754070811489631E-7</v>
          </cell>
          <cell r="E336">
            <v>6.2748830820876214E-7</v>
          </cell>
          <cell r="F336">
            <v>0.22556041057399492</v>
          </cell>
          <cell r="G336">
            <v>0.48610458036480075</v>
          </cell>
          <cell r="H336">
            <v>0.53196414032481576</v>
          </cell>
          <cell r="I336">
            <v>0.89779409394958098</v>
          </cell>
          <cell r="J336"/>
          <cell r="K336"/>
        </row>
        <row r="337">
          <cell r="A337" t="str">
            <v>RHES-SHSTG-ELCHP</v>
          </cell>
          <cell r="B337" t="str">
            <v>VAR_fin</v>
          </cell>
          <cell r="C337" t="str">
            <v>RHES-SHAELCH</v>
          </cell>
          <cell r="D337">
            <v>3.6334219417803961E-6</v>
          </cell>
          <cell r="E337">
            <v>7.1551834056854514E-7</v>
          </cell>
          <cell r="F337">
            <v>0.22556451843520964</v>
          </cell>
          <cell r="G337">
            <v>0.48611042081351236</v>
          </cell>
          <cell r="H337">
            <v>0.53198156350062598</v>
          </cell>
          <cell r="I337">
            <v>0.89781075659655152</v>
          </cell>
          <cell r="J337"/>
          <cell r="K337"/>
        </row>
        <row r="338">
          <cell r="A338" t="str">
            <v>RHES-SHSTG-ELCHP</v>
          </cell>
          <cell r="B338" t="str">
            <v>VAR_ncap</v>
          </cell>
          <cell r="C338" t="str">
            <v>-</v>
          </cell>
          <cell r="D338">
            <v>2.28882657351233E-3</v>
          </cell>
          <cell r="E338">
            <v>0.14421657728891099</v>
          </cell>
          <cell r="F338">
            <v>0.131243379730203</v>
          </cell>
          <cell r="G338">
            <v>4.45561241657908E-2</v>
          </cell>
          <cell r="H338">
            <v>0.21021473104813301</v>
          </cell>
          <cell r="I338">
            <v>0.19065754575877</v>
          </cell>
          <cell r="J338"/>
          <cell r="K338"/>
        </row>
        <row r="339">
          <cell r="A339" t="str">
            <v>RHES-SHSTG-ELCHP</v>
          </cell>
          <cell r="B339" t="str">
            <v>VAR_cap</v>
          </cell>
          <cell r="C339" t="str">
            <v>-</v>
          </cell>
          <cell r="D339">
            <v>2.28882657351233E-3</v>
          </cell>
          <cell r="E339">
            <v>0.1465001963770845</v>
          </cell>
          <cell r="F339">
            <v>0.27773842835001322</v>
          </cell>
          <cell r="G339">
            <v>0.32228752916676651</v>
          </cell>
          <cell r="H339">
            <v>0.36222568594746279</v>
          </cell>
          <cell r="I339">
            <v>0.3848070106391896</v>
          </cell>
          <cell r="J339"/>
        </row>
        <row r="340">
          <cell r="A340" t="str">
            <v>SCOM-SHCONBR6</v>
          </cell>
          <cell r="B340" t="str">
            <v>VAR_fout</v>
          </cell>
          <cell r="C340" t="str">
            <v>SCOM-SHCON</v>
          </cell>
          <cell r="D340"/>
          <cell r="F340"/>
          <cell r="G340"/>
          <cell r="H340">
            <v>1.5670781203959238E-4</v>
          </cell>
          <cell r="I340">
            <v>2.549019094260389E-4</v>
          </cell>
          <cell r="J340"/>
          <cell r="K340"/>
        </row>
        <row r="341">
          <cell r="A341" t="str">
            <v>SCOM-SHCONBR6</v>
          </cell>
          <cell r="B341" t="str">
            <v>VAR_fin</v>
          </cell>
          <cell r="C341" t="str">
            <v>CON</v>
          </cell>
          <cell r="D341"/>
          <cell r="F341"/>
          <cell r="G341"/>
          <cell r="H341">
            <v>1.5670781203959238E-4</v>
          </cell>
          <cell r="I341">
            <v>2.549019094260389E-4</v>
          </cell>
          <cell r="J341"/>
          <cell r="K341"/>
        </row>
        <row r="342">
          <cell r="A342" t="str">
            <v>SCOM-SHCONBR6</v>
          </cell>
          <cell r="B342" t="str">
            <v>VAR_ncap</v>
          </cell>
          <cell r="C342" t="str">
            <v>-</v>
          </cell>
          <cell r="D342"/>
          <cell r="E342"/>
          <cell r="F342"/>
          <cell r="G342"/>
          <cell r="H342">
            <v>1.71966785184782E-6</v>
          </cell>
          <cell r="I342">
            <v>5.6852938041992302E-6</v>
          </cell>
          <cell r="J342"/>
        </row>
        <row r="343">
          <cell r="A343" t="str">
            <v>SCOM-SHCONBR6</v>
          </cell>
          <cell r="B343" t="str">
            <v>VAR_cap</v>
          </cell>
          <cell r="C343" t="str">
            <v>-</v>
          </cell>
          <cell r="D343"/>
          <cell r="F343"/>
          <cell r="G343"/>
          <cell r="H343">
            <v>1.6972854848962629E-5</v>
          </cell>
          <cell r="I343">
            <v>2.2664442867174975E-5</v>
          </cell>
          <cell r="J343"/>
        </row>
        <row r="344">
          <cell r="A344" t="str">
            <v>RHNM-SHDEM</v>
          </cell>
          <cell r="B344" t="str">
            <v>VAR_fout</v>
          </cell>
          <cell r="C344" t="str">
            <v>RHNM-SHD</v>
          </cell>
          <cell r="D344"/>
          <cell r="E344">
            <v>1.20715021831532</v>
          </cell>
          <cell r="F344">
            <v>1.5880599827507098</v>
          </cell>
          <cell r="G344">
            <v>3.1102370534035315</v>
          </cell>
          <cell r="H344">
            <v>4.9766913046996786</v>
          </cell>
          <cell r="I344">
            <v>6.1406340973288103</v>
          </cell>
          <cell r="J344"/>
        </row>
        <row r="345">
          <cell r="A345" t="str">
            <v>RHNM-SHDEM</v>
          </cell>
          <cell r="B345" t="str">
            <v>VAR_fin</v>
          </cell>
          <cell r="C345" t="str">
            <v>RHNM-SHLFO</v>
          </cell>
          <cell r="D345"/>
          <cell r="E345">
            <v>3.3343261327996615E-2</v>
          </cell>
          <cell r="F345">
            <v>0.1117714126093772</v>
          </cell>
          <cell r="G345">
            <v>0.16840302633474249</v>
          </cell>
          <cell r="H345">
            <v>0.18296176439308437</v>
          </cell>
          <cell r="I345">
            <v>3.195618303278787E-5</v>
          </cell>
          <cell r="J345"/>
          <cell r="K345"/>
        </row>
        <row r="346">
          <cell r="A346" t="str">
            <v>RHNM-SHDEM</v>
          </cell>
          <cell r="B346" t="str">
            <v>VAR_fin</v>
          </cell>
          <cell r="C346" t="str">
            <v>RHNM-SHLTHD</v>
          </cell>
          <cell r="D346"/>
          <cell r="E346">
            <v>0.24168753455097161</v>
          </cell>
          <cell r="F346">
            <v>5.8267028109618348E-2</v>
          </cell>
          <cell r="G346">
            <v>0.10498014165243992</v>
          </cell>
          <cell r="H346">
            <v>0.15642010869771691</v>
          </cell>
          <cell r="I346">
            <v>0.18757291242059812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RHNM-SHCON</v>
          </cell>
          <cell r="D347"/>
          <cell r="F347">
            <v>5.3142296213488558E-4</v>
          </cell>
          <cell r="G347">
            <v>5.287812658650692E-4</v>
          </cell>
          <cell r="H347">
            <v>1.0264216767108175E-2</v>
          </cell>
          <cell r="I347">
            <v>0.13784092171313594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RHNM-SHELCB</v>
          </cell>
          <cell r="D348"/>
          <cell r="E348">
            <v>0.11403408141584842</v>
          </cell>
          <cell r="F348">
            <v>1.3594018832202407E-3</v>
          </cell>
          <cell r="G348">
            <v>3.8067111805220127E-3</v>
          </cell>
          <cell r="H348">
            <v>5.8861643239203013E-3</v>
          </cell>
          <cell r="I348">
            <v>7.3637948989514106E-3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RHNM-SHWOD</v>
          </cell>
          <cell r="D349"/>
          <cell r="E349">
            <v>6.8724676399465362E-2</v>
          </cell>
          <cell r="F349">
            <v>0.10162797670393608</v>
          </cell>
          <cell r="G349">
            <v>0.18021761211628906</v>
          </cell>
          <cell r="H349">
            <v>0.31118217547088017</v>
          </cell>
          <cell r="I349">
            <v>0.42112398043150834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RHNM-SHELCH</v>
          </cell>
          <cell r="D350"/>
          <cell r="E350">
            <v>3.3480466386766369E-2</v>
          </cell>
          <cell r="F350">
            <v>0.90143028431691297</v>
          </cell>
          <cell r="G350">
            <v>1.6519821724278023</v>
          </cell>
          <cell r="H350">
            <v>2.5962895987082644</v>
          </cell>
          <cell r="I350">
            <v>3.2349943267174583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RHNM-SHNST</v>
          </cell>
          <cell r="D351"/>
          <cell r="E351">
            <v>6.4363902457859499E-3</v>
          </cell>
          <cell r="F351">
            <v>5.9831496745473399E-5</v>
          </cell>
          <cell r="G351">
            <v>8.8172516931219749E-5</v>
          </cell>
          <cell r="H351">
            <v>7.5110776590588918E-5</v>
          </cell>
          <cell r="I351">
            <v>2.9984872625600152E-5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RHNM-SHPLT</v>
          </cell>
          <cell r="D352"/>
          <cell r="E352">
            <v>6.4198239096092222E-2</v>
          </cell>
          <cell r="F352">
            <v>1.9457463219933177E-2</v>
          </cell>
          <cell r="G352">
            <v>4.2727552951656665E-2</v>
          </cell>
          <cell r="H352">
            <v>8.3147981280030162E-2</v>
          </cell>
          <cell r="I352">
            <v>0.12310953880094956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RHNM-SHLTHC-NGA</v>
          </cell>
          <cell r="D353"/>
          <cell r="E353">
            <v>3.3873089525468476E-2</v>
          </cell>
          <cell r="F353">
            <v>1.1464837238881394E-5</v>
          </cell>
          <cell r="G353"/>
          <cell r="H353">
            <v>3.1530942853733976E-5</v>
          </cell>
          <cell r="I353">
            <v>2.53699314975437E-7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RHNM-SHSOL</v>
          </cell>
          <cell r="D354"/>
          <cell r="E354">
            <v>4.0164738961874474E-2</v>
          </cell>
          <cell r="F354">
            <v>1.5032739570936145E-4</v>
          </cell>
          <cell r="G354">
            <v>1.57813722109457E-4</v>
          </cell>
          <cell r="H354">
            <v>1.9250529207032061E-4</v>
          </cell>
          <cell r="I354">
            <v>2.4622815521143114E-4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RHNM-SHLTHC-WOD</v>
          </cell>
          <cell r="D355"/>
          <cell r="E355">
            <v>8.8739459144952688E-3</v>
          </cell>
          <cell r="F355">
            <v>1.7560041436697726E-5</v>
          </cell>
          <cell r="G355">
            <v>1.8310358694082389E-6</v>
          </cell>
          <cell r="H355">
            <v>3.7457050990907302E-7</v>
          </cell>
          <cell r="I355">
            <v>4.8990370268169322E-6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RHNM-SHNGAH</v>
          </cell>
          <cell r="D356"/>
          <cell r="E356">
            <v>6.5749193023911029E-3</v>
          </cell>
          <cell r="F356">
            <v>0.22990064760806725</v>
          </cell>
          <cell r="G356">
            <v>0.684302693683149</v>
          </cell>
          <cell r="H356">
            <v>1.2773237989113007</v>
          </cell>
          <cell r="I356">
            <v>1.7397324764967972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RHNM-SHNGA</v>
          </cell>
          <cell r="D357"/>
          <cell r="E357">
            <v>0.55581671953076794</v>
          </cell>
          <cell r="F357">
            <v>0.16358004780299054</v>
          </cell>
          <cell r="G357">
            <v>0.27312872171616942</v>
          </cell>
          <cell r="H357">
            <v>0.35299304501273915</v>
          </cell>
          <cell r="I357">
            <v>0.28864604010706407</v>
          </cell>
          <cell r="J357"/>
          <cell r="K357"/>
        </row>
        <row r="358">
          <cell r="A358" t="str">
            <v>SCOM-STG-ELCSPEC</v>
          </cell>
          <cell r="B358" t="str">
            <v>VAR_fout</v>
          </cell>
          <cell r="C358" t="str">
            <v>SCOM-ELS</v>
          </cell>
          <cell r="E358">
            <v>6.1161983851384036E-3</v>
          </cell>
          <cell r="F358">
            <v>6.4219671676577217E-3</v>
          </cell>
          <cell r="G358">
            <v>6.5016228252005029E-3</v>
          </cell>
          <cell r="H358">
            <v>7.5936512783072643E-3</v>
          </cell>
          <cell r="I358">
            <v>7.7465437759793986E-3</v>
          </cell>
          <cell r="J358"/>
          <cell r="K358"/>
        </row>
        <row r="359">
          <cell r="A359" t="str">
            <v>SCOM-STG-ELCSPEC</v>
          </cell>
          <cell r="B359" t="str">
            <v>VAR_fin</v>
          </cell>
          <cell r="C359" t="str">
            <v>SCOM-ELS</v>
          </cell>
          <cell r="D359"/>
          <cell r="E359">
            <v>6.1175680334777105E-3</v>
          </cell>
          <cell r="F359">
            <v>6.4234217445318662E-3</v>
          </cell>
          <cell r="G359">
            <v>6.5024099379313088E-3</v>
          </cell>
          <cell r="H359">
            <v>7.5951476700588626E-3</v>
          </cell>
          <cell r="I359">
            <v>7.7482662957019987E-3</v>
          </cell>
          <cell r="J359"/>
          <cell r="K359"/>
        </row>
        <row r="360">
          <cell r="A360" t="str">
            <v>SCOM-STG-ELCSPEC</v>
          </cell>
          <cell r="B360" t="str">
            <v>VAR_ncap</v>
          </cell>
          <cell r="C360" t="str">
            <v>-</v>
          </cell>
          <cell r="D360"/>
          <cell r="E360">
            <v>2.3086993152414E-4</v>
          </cell>
          <cell r="F360">
            <v>8.8872907086424899E-6</v>
          </cell>
          <cell r="G360">
            <v>2.2151227182144698E-6</v>
          </cell>
          <cell r="H360">
            <v>1.11849203424662E-4</v>
          </cell>
          <cell r="I360">
            <v>1.37765906220627E-4</v>
          </cell>
          <cell r="J360"/>
          <cell r="K360"/>
        </row>
        <row r="361">
          <cell r="A361" t="str">
            <v>SCOM-STG-ELCSPEC</v>
          </cell>
          <cell r="B361" t="str">
            <v>VAR_cap</v>
          </cell>
          <cell r="C361" t="str">
            <v>-</v>
          </cell>
          <cell r="D361"/>
          <cell r="E361">
            <v>2.3086993152414E-4</v>
          </cell>
          <cell r="F361">
            <v>2.3965240013760811E-4</v>
          </cell>
          <cell r="G361">
            <v>2.4163625378727151E-4</v>
          </cell>
          <cell r="H361">
            <v>2.810077320729184E-4</v>
          </cell>
          <cell r="I361">
            <v>2.8131541421460611E-4</v>
          </cell>
          <cell r="J361"/>
          <cell r="K361"/>
        </row>
        <row r="362">
          <cell r="A362" t="str">
            <v>SCOM-SHCONBR7</v>
          </cell>
          <cell r="B362" t="str">
            <v>VAR_fout</v>
          </cell>
          <cell r="C362" t="str">
            <v>SCOM-SHCON</v>
          </cell>
          <cell r="D362"/>
          <cell r="G362"/>
          <cell r="H362"/>
          <cell r="I362">
            <v>1.1764051730698134E-4</v>
          </cell>
          <cell r="J362"/>
          <cell r="K362"/>
        </row>
        <row r="363">
          <cell r="A363" t="str">
            <v>SCOM-SHCONBR7</v>
          </cell>
          <cell r="B363" t="str">
            <v>VAR_fin</v>
          </cell>
          <cell r="C363" t="str">
            <v>CON</v>
          </cell>
          <cell r="D363"/>
          <cell r="G363"/>
          <cell r="H363"/>
          <cell r="I363">
            <v>1.1764051730698134E-4</v>
          </cell>
          <cell r="J363"/>
          <cell r="K363"/>
        </row>
        <row r="364">
          <cell r="A364" t="str">
            <v>SCOM-SHCONBR7</v>
          </cell>
          <cell r="B364" t="str">
            <v>VAR_ncap</v>
          </cell>
          <cell r="C364" t="str">
            <v>-</v>
          </cell>
          <cell r="D364"/>
          <cell r="G364"/>
          <cell r="H364"/>
          <cell r="I364">
            <v>1.11996994483037E-5</v>
          </cell>
          <cell r="J364"/>
        </row>
        <row r="365">
          <cell r="A365" t="str">
            <v>SCOM-SHCONBR7</v>
          </cell>
          <cell r="B365" t="str">
            <v>VAR_cap</v>
          </cell>
          <cell r="C365" t="str">
            <v>-</v>
          </cell>
          <cell r="D365"/>
          <cell r="G365"/>
          <cell r="H365"/>
          <cell r="I365">
            <v>1.11996994483037E-5</v>
          </cell>
          <cell r="J365"/>
        </row>
        <row r="366">
          <cell r="A366" t="str">
            <v>SCOM-SHCONBR8</v>
          </cell>
          <cell r="B366" t="str">
            <v>VAR_fout</v>
          </cell>
          <cell r="C366" t="str">
            <v>SCOM-SHCON</v>
          </cell>
          <cell r="D366"/>
          <cell r="G366"/>
          <cell r="H366"/>
          <cell r="I366">
            <v>3.4221143011408064E-5</v>
          </cell>
          <cell r="J366"/>
          <cell r="K366"/>
        </row>
        <row r="367">
          <cell r="A367" t="str">
            <v>SCOM-SHCONBR8</v>
          </cell>
          <cell r="B367" t="str">
            <v>VAR_fin</v>
          </cell>
          <cell r="C367" t="str">
            <v>CON</v>
          </cell>
          <cell r="D367"/>
          <cell r="G367"/>
          <cell r="H367"/>
          <cell r="I367">
            <v>3.4221143011408064E-5</v>
          </cell>
          <cell r="J367"/>
          <cell r="K367"/>
        </row>
        <row r="368">
          <cell r="A368" t="str">
            <v>SCOM-SHCONBR8</v>
          </cell>
          <cell r="B368" t="str">
            <v>VAR_ncap</v>
          </cell>
          <cell r="C368" t="str">
            <v>-</v>
          </cell>
          <cell r="D368"/>
          <cell r="G368"/>
          <cell r="H368"/>
          <cell r="I368">
            <v>3.5043582496022399E-6</v>
          </cell>
          <cell r="J368"/>
        </row>
        <row r="369">
          <cell r="A369" t="str">
            <v>SCOM-SHCONBR8</v>
          </cell>
          <cell r="B369" t="str">
            <v>VAR_cap</v>
          </cell>
          <cell r="C369" t="str">
            <v>-</v>
          </cell>
          <cell r="G369"/>
          <cell r="H369"/>
          <cell r="I369">
            <v>3.5043582496022399E-6</v>
          </cell>
          <cell r="J369"/>
          <cell r="K369"/>
        </row>
        <row r="370">
          <cell r="A370" t="str">
            <v>ITOT-ELCSPEC</v>
          </cell>
          <cell r="B370" t="str">
            <v>VAR_fout</v>
          </cell>
          <cell r="C370" t="str">
            <v>ITOT-ELS</v>
          </cell>
          <cell r="D370">
            <v>48.063397652170998</v>
          </cell>
          <cell r="E370">
            <v>49.805750727994791</v>
          </cell>
          <cell r="F370">
            <v>51.560920925438133</v>
          </cell>
          <cell r="G370">
            <v>52.986859477885048</v>
          </cell>
          <cell r="H370">
            <v>54.58870300374938</v>
          </cell>
          <cell r="I370">
            <v>55.664147421587231</v>
          </cell>
          <cell r="J370"/>
          <cell r="K370"/>
        </row>
        <row r="371">
          <cell r="A371" t="str">
            <v>ITOT-ELCSPEC</v>
          </cell>
          <cell r="B371" t="str">
            <v>VAR_fin</v>
          </cell>
          <cell r="C371" t="str">
            <v>ITOT_ELC</v>
          </cell>
          <cell r="D371">
            <v>48.063397652170998</v>
          </cell>
          <cell r="E371">
            <v>49.805750727994791</v>
          </cell>
          <cell r="F371">
            <v>51.560920925438133</v>
          </cell>
          <cell r="G371">
            <v>52.986859477885048</v>
          </cell>
          <cell r="H371">
            <v>54.58870300374938</v>
          </cell>
          <cell r="I371">
            <v>55.664147421587231</v>
          </cell>
          <cell r="J371"/>
          <cell r="K371"/>
        </row>
        <row r="372">
          <cell r="A372" t="str">
            <v>ITOT-ELCSPEC</v>
          </cell>
          <cell r="B372" t="str">
            <v>VAR_ncap</v>
          </cell>
          <cell r="C372" t="str">
            <v>-</v>
          </cell>
          <cell r="D372">
            <v>8.3497656798012507E-2</v>
          </cell>
          <cell r="E372">
            <v>9.4753955097119397E-2</v>
          </cell>
          <cell r="F372">
            <v>9.5451489515410895E-2</v>
          </cell>
          <cell r="G372">
            <v>7.7547384536089198E-2</v>
          </cell>
          <cell r="H372">
            <v>2.1586170639476699E-2</v>
          </cell>
          <cell r="I372">
            <v>2.6002538760355298</v>
          </cell>
          <cell r="J372"/>
          <cell r="K372"/>
        </row>
        <row r="373">
          <cell r="A373" t="str">
            <v>ITOT-ELCSPEC</v>
          </cell>
          <cell r="B373" t="str">
            <v>VAR_cap</v>
          </cell>
          <cell r="C373" t="str">
            <v>-</v>
          </cell>
          <cell r="D373">
            <v>2.6138248888307225</v>
          </cell>
          <cell r="E373">
            <v>2.7085786620708916</v>
          </cell>
          <cell r="F373">
            <v>2.8040297219084791</v>
          </cell>
          <cell r="G373">
            <v>2.8815761240290376</v>
          </cell>
          <cell r="H373">
            <v>2.9686851656634272</v>
          </cell>
          <cell r="I373">
            <v>3.0271721754163621</v>
          </cell>
          <cell r="J373"/>
        </row>
        <row r="374">
          <cell r="A374" t="str">
            <v>RHNM-SHLTHDH</v>
          </cell>
          <cell r="B374" t="str">
            <v>VAR_fout</v>
          </cell>
          <cell r="C374" t="str">
            <v>RHNM-SHLTHD</v>
          </cell>
          <cell r="E374">
            <v>0.34660296543214653</v>
          </cell>
          <cell r="F374">
            <v>5.8377631899741919E-2</v>
          </cell>
          <cell r="G374">
            <v>0.10508534539566404</v>
          </cell>
          <cell r="H374">
            <v>0.15653635113188041</v>
          </cell>
          <cell r="I374">
            <v>0.18763098371219039</v>
          </cell>
          <cell r="J374"/>
          <cell r="K374"/>
        </row>
        <row r="375">
          <cell r="A375" t="str">
            <v>RHNM-SHLTHDH</v>
          </cell>
          <cell r="B375" t="str">
            <v>VAR_fin</v>
          </cell>
          <cell r="C375" t="str">
            <v>RHNMLTHDHC</v>
          </cell>
          <cell r="E375">
            <v>0.34660296543214653</v>
          </cell>
          <cell r="F375">
            <v>5.8377631899741919E-2</v>
          </cell>
          <cell r="G375">
            <v>0.10508534539566404</v>
          </cell>
          <cell r="H375">
            <v>0.15653635113188041</v>
          </cell>
          <cell r="I375">
            <v>0.18763098371219039</v>
          </cell>
          <cell r="J375"/>
          <cell r="K375"/>
        </row>
        <row r="376">
          <cell r="A376" t="str">
            <v>RHNM-SHLTHDH</v>
          </cell>
          <cell r="B376" t="str">
            <v>VAR_fin</v>
          </cell>
          <cell r="C376" t="str">
            <v>RHNM_LTH_DH</v>
          </cell>
          <cell r="E376">
            <v>0.35010400548701653</v>
          </cell>
          <cell r="F376">
            <v>6.459926900538622E-2</v>
          </cell>
          <cell r="G376">
            <v>0.1159807247779161</v>
          </cell>
          <cell r="H376">
            <v>0.17224689638048193</v>
          </cell>
          <cell r="I376">
            <v>0.20646229693966187</v>
          </cell>
          <cell r="J376"/>
          <cell r="K376"/>
        </row>
        <row r="377">
          <cell r="A377" t="str">
            <v>RHNM-SHLTHDH</v>
          </cell>
          <cell r="B377" t="str">
            <v>VAR_ncap</v>
          </cell>
          <cell r="C377" t="str">
            <v>-</v>
          </cell>
          <cell r="D377"/>
          <cell r="E377">
            <v>3.1761935091254002E-2</v>
          </cell>
          <cell r="F377">
            <v>1.17686883383438E-2</v>
          </cell>
          <cell r="G377">
            <v>7.9997154924585506E-3</v>
          </cell>
          <cell r="H377">
            <v>3.1926978506613302E-2</v>
          </cell>
          <cell r="I377">
            <v>1.8049956880518199E-3</v>
          </cell>
          <cell r="J377"/>
          <cell r="K377"/>
        </row>
        <row r="378">
          <cell r="A378" t="str">
            <v>RHNM-SHLTHDH</v>
          </cell>
          <cell r="B378" t="str">
            <v>VAR_cap</v>
          </cell>
          <cell r="C378" t="str">
            <v>-</v>
          </cell>
          <cell r="E378">
            <v>3.1761935091254002E-2</v>
          </cell>
          <cell r="F378">
            <v>3.7673053986659738E-2</v>
          </cell>
          <cell r="G378">
            <v>2.81872667006264E-2</v>
          </cell>
          <cell r="H378">
            <v>7.98546190802841E-2</v>
          </cell>
          <cell r="I378">
            <v>1.9773967383117499E-2</v>
          </cell>
          <cell r="J378"/>
          <cell r="K378"/>
        </row>
        <row r="379">
          <cell r="A379" t="str">
            <v>SCOM-SHCONBR9</v>
          </cell>
          <cell r="B379" t="str">
            <v>VAR_fout</v>
          </cell>
          <cell r="C379" t="str">
            <v>SCOM-SHCON</v>
          </cell>
          <cell r="D379"/>
          <cell r="G379"/>
          <cell r="H379"/>
          <cell r="I379">
            <v>1.0798824989706292E-5</v>
          </cell>
          <cell r="J379"/>
          <cell r="K379"/>
        </row>
        <row r="380">
          <cell r="A380" t="str">
            <v>SCOM-SHCONBR9</v>
          </cell>
          <cell r="B380" t="str">
            <v>VAR_fin</v>
          </cell>
          <cell r="C380" t="str">
            <v>CON</v>
          </cell>
          <cell r="H380"/>
          <cell r="I380">
            <v>1.0798824989706292E-5</v>
          </cell>
          <cell r="J380"/>
          <cell r="K380"/>
        </row>
        <row r="381">
          <cell r="A381" t="str">
            <v>SCOM-SHCONBR9</v>
          </cell>
          <cell r="B381" t="str">
            <v>VAR_ncap</v>
          </cell>
          <cell r="C381" t="str">
            <v>-</v>
          </cell>
          <cell r="G381"/>
          <cell r="H381"/>
          <cell r="I381">
            <v>1.02412970216122E-6</v>
          </cell>
          <cell r="J381"/>
          <cell r="K381"/>
        </row>
        <row r="382">
          <cell r="A382" t="str">
            <v>SCOM-SHCONBR9</v>
          </cell>
          <cell r="B382" t="str">
            <v>VAR_cap</v>
          </cell>
          <cell r="C382" t="str">
            <v>-</v>
          </cell>
          <cell r="D382"/>
          <cell r="G382"/>
          <cell r="H382"/>
          <cell r="I382">
            <v>1.02412970216122E-6</v>
          </cell>
          <cell r="J382"/>
          <cell r="K382"/>
        </row>
        <row r="383">
          <cell r="A383" t="str">
            <v>ITOT-SWHCOABR</v>
          </cell>
          <cell r="B383" t="str">
            <v>VAR_fout</v>
          </cell>
          <cell r="C383" t="str">
            <v>ITOT-SWH</v>
          </cell>
          <cell r="D383">
            <v>2.3674007783936641</v>
          </cell>
          <cell r="E383">
            <v>2.307501230358997</v>
          </cell>
          <cell r="F383">
            <v>2.1530813441776129</v>
          </cell>
          <cell r="G383">
            <v>5.113663491922879E-4</v>
          </cell>
          <cell r="H383">
            <v>2.2523594753757293E-4</v>
          </cell>
          <cell r="I383">
            <v>6.5093292370777526E-5</v>
          </cell>
          <cell r="J383"/>
          <cell r="K383"/>
        </row>
        <row r="384">
          <cell r="A384" t="str">
            <v>ITOT-SWHCOABR</v>
          </cell>
          <cell r="B384" t="str">
            <v>VAR_fout</v>
          </cell>
          <cell r="C384" t="str">
            <v>CO2_I</v>
          </cell>
          <cell r="D384">
            <v>330.012108506907</v>
          </cell>
          <cell r="E384">
            <v>321.17922530672502</v>
          </cell>
          <cell r="F384">
            <v>299.01219566331798</v>
          </cell>
          <cell r="G384">
            <v>7.0751732194216502E-2</v>
          </cell>
          <cell r="H384">
            <v>3.0932403461826699E-2</v>
          </cell>
          <cell r="I384">
            <v>8.8737473570162893E-3</v>
          </cell>
          <cell r="J384"/>
          <cell r="K384"/>
        </row>
        <row r="385">
          <cell r="A385" t="str">
            <v>ITOT-SWHCOABR</v>
          </cell>
          <cell r="B385" t="str">
            <v>VAR_fin</v>
          </cell>
          <cell r="C385" t="str">
            <v>ICOA</v>
          </cell>
          <cell r="D385">
            <v>3.560001170516788</v>
          </cell>
          <cell r="E385">
            <v>3.4647165621005938</v>
          </cell>
          <cell r="F385">
            <v>3.2255900287305095</v>
          </cell>
          <cell r="G385">
            <v>7.6323335700341402E-4</v>
          </cell>
          <cell r="H385">
            <v>3.336828852408488E-4</v>
          </cell>
          <cell r="I385">
            <v>9.5725429957025708E-5</v>
          </cell>
          <cell r="J385"/>
          <cell r="K385"/>
        </row>
        <row r="386">
          <cell r="A386" t="str">
            <v>ITOT-SWHCOABR</v>
          </cell>
          <cell r="B386" t="str">
            <v>VAR_ncap</v>
          </cell>
          <cell r="C386" t="str">
            <v>-</v>
          </cell>
          <cell r="D386"/>
          <cell r="E386">
            <v>3.07518899138964E-6</v>
          </cell>
          <cell r="F386">
            <v>3.7734591077269198E-6</v>
          </cell>
          <cell r="G386">
            <v>4.4000906511762198E-6</v>
          </cell>
          <cell r="H386">
            <v>2.8241685051387499E-6</v>
          </cell>
          <cell r="I386">
            <v>1.3032307131082701E-6</v>
          </cell>
          <cell r="J386"/>
        </row>
        <row r="387">
          <cell r="A387" t="str">
            <v>ITOT-SWHCOABR</v>
          </cell>
          <cell r="B387" t="str">
            <v>VAR_cap</v>
          </cell>
          <cell r="C387" t="str">
            <v>-</v>
          </cell>
          <cell r="D387">
            <v>0.26172155007150499</v>
          </cell>
          <cell r="E387">
            <v>0.18906900334492699</v>
          </cell>
          <cell r="F387">
            <v>0.18749066009063572</v>
          </cell>
          <cell r="G387">
            <v>4.8576350355322706E-5</v>
          </cell>
          <cell r="H387">
            <v>2.1348730412377953E-5</v>
          </cell>
          <cell r="I387">
            <v>6.1837962873004906E-6</v>
          </cell>
          <cell r="J387"/>
        </row>
        <row r="388">
          <cell r="A388" t="str">
            <v>RHSA-WHDEM</v>
          </cell>
          <cell r="B388" t="str">
            <v>VAR_fout</v>
          </cell>
          <cell r="C388" t="str">
            <v>WWTPC</v>
          </cell>
          <cell r="D388">
            <v>3.6038448327004896E-2</v>
          </cell>
          <cell r="E388">
            <v>4.916378849112793E-5</v>
          </cell>
          <cell r="F388">
            <v>5.221878003207684E-5</v>
          </cell>
          <cell r="G388">
            <v>5.1535693352616763E-5</v>
          </cell>
          <cell r="H388">
            <v>5.0457367731637087E-5</v>
          </cell>
          <cell r="I388">
            <v>4.6262543006575507E-5</v>
          </cell>
          <cell r="J388"/>
        </row>
        <row r="389">
          <cell r="A389" t="str">
            <v>RHSA-WHDEM</v>
          </cell>
          <cell r="B389" t="str">
            <v>VAR_fout</v>
          </cell>
          <cell r="C389" t="str">
            <v>RHSA-WHD</v>
          </cell>
          <cell r="D389">
            <v>26.438654975424289</v>
          </cell>
          <cell r="E389">
            <v>25.92879146371218</v>
          </cell>
          <cell r="F389">
            <v>21.656356159755116</v>
          </cell>
          <cell r="G389">
            <v>22.582777915814713</v>
          </cell>
          <cell r="H389">
            <v>25.580135165480606</v>
          </cell>
          <cell r="I389">
            <v>29.05351228423201</v>
          </cell>
          <cell r="J389"/>
          <cell r="K389"/>
        </row>
        <row r="390">
          <cell r="A390" t="str">
            <v>RHSA-WHDEM</v>
          </cell>
          <cell r="B390" t="str">
            <v>VAR_fin</v>
          </cell>
          <cell r="C390" t="str">
            <v>RHSA-WHNGA</v>
          </cell>
          <cell r="D390">
            <v>6.2091886347336374</v>
          </cell>
          <cell r="E390">
            <v>5.5412053426581718</v>
          </cell>
          <cell r="F390">
            <v>5.4443169559147417</v>
          </cell>
          <cell r="G390">
            <v>4.4599170114628119</v>
          </cell>
          <cell r="H390">
            <v>3.0241256941599577</v>
          </cell>
          <cell r="I390">
            <v>1.9163161474947445</v>
          </cell>
          <cell r="J390"/>
          <cell r="K390"/>
        </row>
        <row r="391">
          <cell r="A391" t="str">
            <v>RHSA-WHDEM</v>
          </cell>
          <cell r="B391" t="str">
            <v>VAR_fin</v>
          </cell>
          <cell r="C391" t="str">
            <v>RHSA-WHLFO</v>
          </cell>
          <cell r="D391">
            <v>6.822090306165209</v>
          </cell>
          <cell r="E391">
            <v>5.5413302980077397</v>
          </cell>
          <cell r="F391">
            <v>4.655129928377681</v>
          </cell>
          <cell r="G391">
            <v>3.108528231444184</v>
          </cell>
          <cell r="H391">
            <v>1.801318764085885</v>
          </cell>
          <cell r="I391">
            <v>0.83393892117269763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RHSA-WHWOD</v>
          </cell>
          <cell r="D392">
            <v>0.55658149409943003</v>
          </cell>
          <cell r="E392">
            <v>0.59722649580152154</v>
          </cell>
          <cell r="F392">
            <v>1.186611615316139</v>
          </cell>
          <cell r="G392">
            <v>1.3267600975159917</v>
          </cell>
          <cell r="H392">
            <v>1.548942222037258</v>
          </cell>
          <cell r="I392">
            <v>1.7475877269244926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RHSA-WHNGAH</v>
          </cell>
          <cell r="D393">
            <v>2.0319461277040016E-2</v>
          </cell>
          <cell r="E393">
            <v>9.9420529414157716E-6</v>
          </cell>
          <cell r="F393">
            <v>0.90914062649552052</v>
          </cell>
          <cell r="G393">
            <v>2.2111068728937293</v>
          </cell>
          <cell r="H393">
            <v>4.1766276199381469</v>
          </cell>
          <cell r="I393">
            <v>6.043241226049183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RHSA-WHNST</v>
          </cell>
          <cell r="D394">
            <v>7.0156792250918046E-2</v>
          </cell>
          <cell r="E394">
            <v>1.6844376978709672E-5</v>
          </cell>
          <cell r="H394"/>
          <cell r="I394"/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RHSA-WHPLT</v>
          </cell>
          <cell r="D395">
            <v>0.26905275519849126</v>
          </cell>
          <cell r="E395">
            <v>0.19482273276166165</v>
          </cell>
          <cell r="F395">
            <v>8.371047431756308E-2</v>
          </cell>
          <cell r="G395">
            <v>0.15792982920792317</v>
          </cell>
          <cell r="H395">
            <v>0.29364344223603533</v>
          </cell>
          <cell r="I395">
            <v>0.4206946596229223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RHSA-WHLTHRD</v>
          </cell>
          <cell r="D396">
            <v>1.2815037255769306</v>
          </cell>
          <cell r="E396">
            <v>1.4633616437554602</v>
          </cell>
          <cell r="F396">
            <v>0.94735974305896753</v>
          </cell>
          <cell r="G396">
            <v>1.1460842666316284</v>
          </cell>
          <cell r="H396">
            <v>1.3458980619524998</v>
          </cell>
          <cell r="I396">
            <v>1.4901268964449954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RHSA-WHELCB</v>
          </cell>
          <cell r="D397">
            <v>6.464438203529788</v>
          </cell>
          <cell r="E397">
            <v>6.9686941651431979</v>
          </cell>
          <cell r="F397">
            <v>2.8215119037960323</v>
          </cell>
          <cell r="G397">
            <v>2.228057282693694</v>
          </cell>
          <cell r="H397">
            <v>1.8867693324535153</v>
          </cell>
          <cell r="I397">
            <v>1.6958361941794069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RHSA-WHSOL</v>
          </cell>
          <cell r="D398">
            <v>1.6633530595954469</v>
          </cell>
          <cell r="E398">
            <v>1.9867313081830003</v>
          </cell>
          <cell r="F398">
            <v>0.91163970236597158</v>
          </cell>
          <cell r="G398">
            <v>1.0783989591184502</v>
          </cell>
          <cell r="H398">
            <v>1.2770344514811374</v>
          </cell>
          <cell r="I398">
            <v>1.4689516306403763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RHSA-WHELCH</v>
          </cell>
          <cell r="D399">
            <v>3.118008991324416</v>
          </cell>
          <cell r="E399">
            <v>3.6354418547600083</v>
          </cell>
          <cell r="F399">
            <v>4.6969854484766778</v>
          </cell>
          <cell r="G399">
            <v>6.8660456097425655</v>
          </cell>
          <cell r="H399">
            <v>10.225824566077401</v>
          </cell>
          <cell r="I399">
            <v>13.436864438211391</v>
          </cell>
          <cell r="J399"/>
        </row>
        <row r="400">
          <cell r="A400" t="str">
            <v>RHSA-WHNGAHP</v>
          </cell>
          <cell r="B400" t="str">
            <v>VAR_fout</v>
          </cell>
          <cell r="C400" t="str">
            <v>RHSA-WHANGAH</v>
          </cell>
          <cell r="F400">
            <v>0.90913699002865356</v>
          </cell>
          <cell r="G400">
            <v>2.2111024783178816</v>
          </cell>
          <cell r="H400">
            <v>4.1766217532205934</v>
          </cell>
          <cell r="I400">
            <v>6.0432364244700896</v>
          </cell>
          <cell r="J400"/>
        </row>
        <row r="401">
          <cell r="A401" t="str">
            <v>RHSA-WHNGAHP</v>
          </cell>
          <cell r="B401" t="str">
            <v>VAR_fout</v>
          </cell>
          <cell r="C401" t="str">
            <v>CO2_R</v>
          </cell>
          <cell r="F401">
            <v>25.598969834059002</v>
          </cell>
          <cell r="G401">
            <v>57.5528755412953</v>
          </cell>
          <cell r="H401">
            <v>100.25197385366199</v>
          </cell>
          <cell r="I401">
            <v>134.90826911216701</v>
          </cell>
          <cell r="J401"/>
          <cell r="K401"/>
        </row>
        <row r="402">
          <cell r="A402" t="str">
            <v>RHSA-WHNGAHP</v>
          </cell>
          <cell r="B402" t="str">
            <v>VAR_fin</v>
          </cell>
          <cell r="C402" t="str">
            <v>RNGA</v>
          </cell>
          <cell r="F402">
            <v>0.45388244386629417</v>
          </cell>
          <cell r="G402">
            <v>1.0204410556967256</v>
          </cell>
          <cell r="H402">
            <v>1.7775172669089039</v>
          </cell>
          <cell r="I402">
            <v>2.3919905870951523</v>
          </cell>
          <cell r="J402"/>
          <cell r="K402"/>
        </row>
        <row r="403">
          <cell r="A403" t="str">
            <v>RHSA-WHNGAHP</v>
          </cell>
          <cell r="B403" t="str">
            <v>VAR_ncap</v>
          </cell>
          <cell r="C403" t="str">
            <v>-</v>
          </cell>
          <cell r="E403">
            <v>2.3423893232413E-7</v>
          </cell>
          <cell r="F403">
            <v>6.02012960885321E-2</v>
          </cell>
          <cell r="G403">
            <v>8.6195249608945299E-2</v>
          </cell>
          <cell r="H403">
            <v>0.13874959502050899</v>
          </cell>
          <cell r="I403">
            <v>0.27971396484410699</v>
          </cell>
          <cell r="J403"/>
          <cell r="K403"/>
        </row>
        <row r="404">
          <cell r="A404" t="str">
            <v>RHSA-WHNGAHP</v>
          </cell>
          <cell r="B404" t="str">
            <v>VAR_cap</v>
          </cell>
          <cell r="C404" t="str">
            <v>-</v>
          </cell>
          <cell r="D404">
            <v>4.7729432218241499E-11</v>
          </cell>
          <cell r="E404">
            <v>1.5389618354720665E-7</v>
          </cell>
          <cell r="F404">
            <v>6.0201434878099591E-2</v>
          </cell>
          <cell r="G404">
            <v>0.14639668760512003</v>
          </cell>
          <cell r="H404">
            <v>0.28547642379718147</v>
          </cell>
          <cell r="I404">
            <v>0.41306171807200293</v>
          </cell>
          <cell r="J404"/>
          <cell r="K404"/>
        </row>
        <row r="405">
          <cell r="A405" t="str">
            <v>SCOM-SHSTG-ELCHP</v>
          </cell>
          <cell r="B405" t="str">
            <v>VAR_fout</v>
          </cell>
          <cell r="C405" t="str">
            <v>SCOM-SHAELCH</v>
          </cell>
          <cell r="D405">
            <v>4.6932451524703071E-6</v>
          </cell>
          <cell r="E405">
            <v>9.1261158814382702E-6</v>
          </cell>
          <cell r="F405">
            <v>1.0172623180786878E-5</v>
          </cell>
          <cell r="G405">
            <v>8.7335461113583775E-6</v>
          </cell>
          <cell r="H405">
            <v>1.2669984558779348E-5</v>
          </cell>
          <cell r="I405">
            <v>3.4958083417186356E-7</v>
          </cell>
          <cell r="J405"/>
          <cell r="K405"/>
        </row>
        <row r="406">
          <cell r="A406" t="str">
            <v>SCOM-SHSTG-ELCHP</v>
          </cell>
          <cell r="B406" t="str">
            <v>VAR_fin</v>
          </cell>
          <cell r="C406" t="str">
            <v>SCOM-SHAELCH</v>
          </cell>
          <cell r="D406">
            <v>6.7921008461178516E-6</v>
          </cell>
          <cell r="E406">
            <v>9.1664886651950193E-6</v>
          </cell>
          <cell r="F406">
            <v>1.1792739669547349E-5</v>
          </cell>
          <cell r="G406">
            <v>9.3132145054560582E-6</v>
          </cell>
          <cell r="H406">
            <v>1.6820252980666931E-5</v>
          </cell>
          <cell r="I406">
            <v>2.0289179948228862E-6</v>
          </cell>
          <cell r="J406"/>
          <cell r="K406"/>
        </row>
        <row r="407">
          <cell r="A407" t="str">
            <v>SCOM-SHSTG-ELCHP</v>
          </cell>
          <cell r="B407" t="str">
            <v>VAR_ncap</v>
          </cell>
          <cell r="C407" t="str">
            <v>-</v>
          </cell>
          <cell r="D407">
            <v>4.5607617310161703E-3</v>
          </cell>
          <cell r="E407">
            <v>9.6771933371447405E-2</v>
          </cell>
          <cell r="F407">
            <v>2.22510805022192E-5</v>
          </cell>
          <cell r="G407">
            <v>2.7982372301191601E-2</v>
          </cell>
          <cell r="H407">
            <v>9.5561921692235305E-2</v>
          </cell>
          <cell r="I407">
            <v>0.16498356237752701</v>
          </cell>
          <cell r="K407"/>
        </row>
        <row r="408">
          <cell r="A408" t="str">
            <v>SCOM-SHSTG-ELCHP</v>
          </cell>
          <cell r="B408" t="str">
            <v>VAR_cap</v>
          </cell>
          <cell r="C408" t="str">
            <v>-</v>
          </cell>
          <cell r="D408">
            <v>4.5607617310161703E-3</v>
          </cell>
          <cell r="E408">
            <v>0.10132181751167835</v>
          </cell>
          <cell r="F408">
            <v>0.10132187638020949</v>
          </cell>
          <cell r="G408">
            <v>0.12929293726292376</v>
          </cell>
          <cell r="H408">
            <v>0.20218660529876945</v>
          </cell>
          <cell r="I408">
            <v>0.27133961704090459</v>
          </cell>
          <cell r="J408"/>
          <cell r="K408"/>
        </row>
        <row r="409">
          <cell r="A409" t="str">
            <v>RHEM-SHLFOBR</v>
          </cell>
          <cell r="B409" t="str">
            <v>VAR_fout</v>
          </cell>
          <cell r="C409" t="str">
            <v>CO2_R</v>
          </cell>
          <cell r="D409">
            <v>1928.7104976778401</v>
          </cell>
          <cell r="E409">
            <v>1569.79525399009</v>
          </cell>
          <cell r="F409">
            <v>1754.7068824601299</v>
          </cell>
          <cell r="G409">
            <v>1165.9096687515901</v>
          </cell>
          <cell r="H409">
            <v>644.41803543256697</v>
          </cell>
          <cell r="I409">
            <v>210.65345105801899</v>
          </cell>
          <cell r="J409"/>
          <cell r="K409"/>
        </row>
        <row r="410">
          <cell r="A410" t="str">
            <v>RHEM-SHLFOBR</v>
          </cell>
          <cell r="B410" t="str">
            <v>VAR_fout</v>
          </cell>
          <cell r="C410" t="str">
            <v>RHEM-SHLFO</v>
          </cell>
          <cell r="D410">
            <v>23.443733435138888</v>
          </cell>
          <cell r="E410">
            <v>19.081070760282135</v>
          </cell>
          <cell r="F410">
            <v>20.426554880123689</v>
          </cell>
          <cell r="G410">
            <v>13.824583735380958</v>
          </cell>
          <cell r="H410">
            <v>7.7459000395072914</v>
          </cell>
          <cell r="I410">
            <v>2.5412692294359105</v>
          </cell>
          <cell r="J410"/>
        </row>
        <row r="411">
          <cell r="A411" t="str">
            <v>RHEM-SHLFOBR</v>
          </cell>
          <cell r="B411" t="str">
            <v>VAR_fin</v>
          </cell>
          <cell r="C411" t="str">
            <v>RLFO</v>
          </cell>
          <cell r="D411">
            <v>26.169748950852682</v>
          </cell>
          <cell r="E411">
            <v>21.299799918454465</v>
          </cell>
          <cell r="F411">
            <v>23.808777238264934</v>
          </cell>
          <cell r="G411">
            <v>15.819669860944227</v>
          </cell>
          <cell r="H411">
            <v>8.7437996666562618</v>
          </cell>
          <cell r="I411">
            <v>2.858255780977188</v>
          </cell>
          <cell r="J411"/>
          <cell r="K411"/>
        </row>
        <row r="412">
          <cell r="A412" t="str">
            <v>RHEM-SHLFOBR</v>
          </cell>
          <cell r="B412" t="str">
            <v>VAR_ncap</v>
          </cell>
          <cell r="C412" t="str">
            <v>-</v>
          </cell>
          <cell r="E412">
            <v>7.8881373120474204E-8</v>
          </cell>
          <cell r="F412">
            <v>7.1249740843082097E-8</v>
          </cell>
          <cell r="G412">
            <v>1.19450890559198E-7</v>
          </cell>
          <cell r="H412">
            <v>0.25529863244159801</v>
          </cell>
          <cell r="I412">
            <v>5.60102085706972E-8</v>
          </cell>
          <cell r="J412"/>
          <cell r="K412"/>
        </row>
        <row r="413">
          <cell r="A413" t="str">
            <v>RHEM-SHLFOBR</v>
          </cell>
          <cell r="B413" t="str">
            <v>VAR_cap</v>
          </cell>
          <cell r="C413" t="str">
            <v>-</v>
          </cell>
          <cell r="D413">
            <v>1.65587464377338</v>
          </cell>
          <cell r="E413">
            <v>1.655867383572017</v>
          </cell>
          <cell r="F413">
            <v>1.655863341527285</v>
          </cell>
          <cell r="G413">
            <v>1.6558603547366793</v>
          </cell>
          <cell r="H413">
            <v>0.54697584202934624</v>
          </cell>
          <cell r="I413">
            <v>0.22918694138778861</v>
          </cell>
          <cell r="J413"/>
          <cell r="K413"/>
        </row>
        <row r="414">
          <cell r="A414" t="str">
            <v>RHES-SHNGAHP</v>
          </cell>
          <cell r="B414" t="str">
            <v>VAR_fout</v>
          </cell>
          <cell r="C414" t="str">
            <v>RHES-SHANGAH</v>
          </cell>
          <cell r="F414">
            <v>2.0750697509759495</v>
          </cell>
          <cell r="G414">
            <v>4.0345082766837939</v>
          </cell>
          <cell r="H414">
            <v>6.156199054447451</v>
          </cell>
          <cell r="I414">
            <v>7.6898115434021737</v>
          </cell>
        </row>
        <row r="415">
          <cell r="A415" t="str">
            <v>RHES-SHNGAHP</v>
          </cell>
          <cell r="B415" t="str">
            <v>VAR_fout</v>
          </cell>
          <cell r="C415" t="str">
            <v>CO2_R</v>
          </cell>
          <cell r="F415">
            <v>64.547623266588303</v>
          </cell>
          <cell r="G415">
            <v>121.82897880791199</v>
          </cell>
          <cell r="H415">
            <v>180.026782466166</v>
          </cell>
          <cell r="I415">
            <v>219.13377775398601</v>
          </cell>
        </row>
        <row r="416">
          <cell r="A416" t="str">
            <v>RHES-SHNGAHP</v>
          </cell>
          <cell r="B416" t="str">
            <v>VAR_fin</v>
          </cell>
          <cell r="C416" t="str">
            <v>RHESELCHPC</v>
          </cell>
          <cell r="F416">
            <v>2.0750697509759495</v>
          </cell>
          <cell r="G416">
            <v>4.0345082766837939</v>
          </cell>
          <cell r="H416">
            <v>6.156199054447451</v>
          </cell>
          <cell r="I416">
            <v>7.6898115434021737</v>
          </cell>
          <cell r="J416"/>
          <cell r="K416"/>
        </row>
        <row r="417">
          <cell r="A417" t="str">
            <v>RHES-SHNGAHP</v>
          </cell>
          <cell r="B417" t="str">
            <v>VAR_fin</v>
          </cell>
          <cell r="C417" t="str">
            <v>RNGA</v>
          </cell>
          <cell r="F417">
            <v>1.1444614054359625</v>
          </cell>
          <cell r="G417">
            <v>2.1600882767360203</v>
          </cell>
          <cell r="H417">
            <v>3.1919642281235161</v>
          </cell>
          <cell r="I417">
            <v>3.885350669396912</v>
          </cell>
          <cell r="J417"/>
          <cell r="K417"/>
        </row>
        <row r="418">
          <cell r="A418" t="str">
            <v>RHES-SHNGAHP</v>
          </cell>
          <cell r="B418" t="str">
            <v>VAR_ncap</v>
          </cell>
          <cell r="C418" t="str">
            <v>-</v>
          </cell>
          <cell r="E418">
            <v>1.0920292686428701E-7</v>
          </cell>
          <cell r="F418">
            <v>0.167648626212834</v>
          </cell>
          <cell r="G418">
            <v>0.158297850150907</v>
          </cell>
          <cell r="H418">
            <v>0.25599564129623098</v>
          </cell>
          <cell r="I418">
            <v>0.39167171004949403</v>
          </cell>
        </row>
        <row r="419">
          <cell r="A419" t="str">
            <v>RHES-SHNGAHP</v>
          </cell>
          <cell r="B419" t="str">
            <v>VAR_cap</v>
          </cell>
          <cell r="C419" t="str">
            <v>-</v>
          </cell>
          <cell r="E419">
            <v>1.0920292686428701E-7</v>
          </cell>
          <cell r="F419">
            <v>0.16764870339066823</v>
          </cell>
          <cell r="G419">
            <v>0.32594654404231216</v>
          </cell>
          <cell r="H419">
            <v>0.49735840588257707</v>
          </cell>
          <cell r="I419">
            <v>0.62125880523008992</v>
          </cell>
        </row>
        <row r="420">
          <cell r="A420" t="str">
            <v>D-RHES_LTH_CHPWOD</v>
          </cell>
          <cell r="B420" t="str">
            <v>VAR_fout</v>
          </cell>
          <cell r="C420" t="str">
            <v>RHES_LTH_CHPWOD_ON</v>
          </cell>
          <cell r="D420">
            <v>6.6369643506328545E-6</v>
          </cell>
          <cell r="E420">
            <v>7.7360085429784891E-6</v>
          </cell>
          <cell r="F420">
            <v>1.569667657263098E-6</v>
          </cell>
          <cell r="G420">
            <v>5.1621270866248585E-5</v>
          </cell>
          <cell r="H420">
            <v>1.5287470503927626E-4</v>
          </cell>
          <cell r="I420"/>
          <cell r="J420"/>
          <cell r="K420"/>
        </row>
        <row r="421">
          <cell r="A421" t="str">
            <v>D-RHES_LTH_CHPWOD</v>
          </cell>
          <cell r="B421" t="str">
            <v>VAR_fout</v>
          </cell>
          <cell r="C421" t="str">
            <v>RHSA_LTH</v>
          </cell>
          <cell r="D421">
            <v>3.4936405992967676E-6</v>
          </cell>
          <cell r="E421">
            <v>5.2114164295371578E-6</v>
          </cell>
          <cell r="F421">
            <v>3.6820723290304819E-6</v>
          </cell>
          <cell r="G421">
            <v>3.7152263227229685E-4</v>
          </cell>
          <cell r="H421">
            <v>1.8037817387668245E-4</v>
          </cell>
          <cell r="I421">
            <v>1.6229708971402844E-4</v>
          </cell>
          <cell r="J421"/>
          <cell r="K421"/>
        </row>
        <row r="422">
          <cell r="A422" t="str">
            <v>D-RHES_LTH_CHPWOD</v>
          </cell>
          <cell r="B422" t="str">
            <v>VAR_fin</v>
          </cell>
          <cell r="C422" t="str">
            <v>RHES_LTH_CHPWOD</v>
          </cell>
          <cell r="D422">
            <v>1.0130604949929624E-5</v>
          </cell>
          <cell r="E422">
            <v>1.3202454841697057E-5</v>
          </cell>
          <cell r="F422">
            <v>5.5385428268834483E-6</v>
          </cell>
          <cell r="G422">
            <v>4.2343382369638353E-4</v>
          </cell>
          <cell r="H422">
            <v>3.3372124954651207E-4</v>
          </cell>
          <cell r="I422">
            <v>1.6265399380609196E-4</v>
          </cell>
        </row>
        <row r="423">
          <cell r="A423" t="str">
            <v>ITOT-SWHCONBR</v>
          </cell>
          <cell r="B423" t="str">
            <v>VAR_fout</v>
          </cell>
          <cell r="C423" t="str">
            <v>ITOT-SWHC</v>
          </cell>
          <cell r="F423">
            <v>1.1642656959249896E-5</v>
          </cell>
          <cell r="G423">
            <v>7.4405291038519537E-6</v>
          </cell>
          <cell r="H423">
            <v>1.7397159702989226E-5</v>
          </cell>
          <cell r="I423">
            <v>8.8231574896315604E-6</v>
          </cell>
        </row>
        <row r="424">
          <cell r="A424" t="str">
            <v>ITOT-SWHCONBR</v>
          </cell>
          <cell r="B424" t="str">
            <v>VAR_fin</v>
          </cell>
          <cell r="C424" t="str">
            <v>CON</v>
          </cell>
          <cell r="F424">
            <v>1.1642656959249896E-5</v>
          </cell>
          <cell r="G424">
            <v>7.4405291038519537E-6</v>
          </cell>
          <cell r="H424">
            <v>1.7397159702989226E-5</v>
          </cell>
          <cell r="I424">
            <v>8.8231574896315604E-6</v>
          </cell>
          <cell r="J424"/>
          <cell r="K424"/>
        </row>
        <row r="425">
          <cell r="A425" t="str">
            <v>ITOT-SWHCONBR</v>
          </cell>
          <cell r="B425" t="str">
            <v>VAR_ncap</v>
          </cell>
          <cell r="C425" t="str">
            <v>-</v>
          </cell>
          <cell r="F425">
            <v>6.5918735186800002E-8</v>
          </cell>
          <cell r="G425">
            <v>1.0812241737602801E-8</v>
          </cell>
          <cell r="H425"/>
          <cell r="I425"/>
          <cell r="J425"/>
          <cell r="K425"/>
        </row>
        <row r="426">
          <cell r="A426" t="str">
            <v>ITOT-SWHCONBR</v>
          </cell>
          <cell r="B426" t="str">
            <v>VAR_cap</v>
          </cell>
          <cell r="C426" t="str">
            <v>-</v>
          </cell>
          <cell r="F426">
            <v>6.5918735186800002E-8</v>
          </cell>
          <cell r="G426">
            <v>7.6730976924402703E-8</v>
          </cell>
          <cell r="H426">
            <v>1.098425822300056E-7</v>
          </cell>
          <cell r="I426">
            <v>1.32461729246895E-7</v>
          </cell>
        </row>
        <row r="427">
          <cell r="A427" t="str">
            <v>ITOT-SWHSOLBR</v>
          </cell>
          <cell r="B427" t="str">
            <v>VAR_fout</v>
          </cell>
          <cell r="C427" t="str">
            <v>ITOT-SWHASOL</v>
          </cell>
          <cell r="D427">
            <v>6.7634770168768135E-2</v>
          </cell>
          <cell r="E427">
            <v>8.5491573412392122E-2</v>
          </cell>
          <cell r="F427">
            <v>8.4119322796834428E-2</v>
          </cell>
          <cell r="G427">
            <v>8.5138658315977472E-2</v>
          </cell>
          <cell r="H427">
            <v>8.2465510557872726E-2</v>
          </cell>
          <cell r="I427">
            <v>8.4182150940405459E-2</v>
          </cell>
        </row>
        <row r="428">
          <cell r="A428" t="str">
            <v>ITOT-SWHSOLBR</v>
          </cell>
          <cell r="B428" t="str">
            <v>VAR_fin</v>
          </cell>
          <cell r="C428" t="str">
            <v>SOL</v>
          </cell>
          <cell r="D428">
            <v>6.7634770168768135E-2</v>
          </cell>
          <cell r="E428">
            <v>8.5491573412392122E-2</v>
          </cell>
          <cell r="F428">
            <v>8.4119322796834428E-2</v>
          </cell>
          <cell r="G428">
            <v>8.5138658315977472E-2</v>
          </cell>
          <cell r="H428">
            <v>8.2465510557872726E-2</v>
          </cell>
          <cell r="I428">
            <v>8.4182150940405459E-2</v>
          </cell>
          <cell r="J428"/>
          <cell r="K428"/>
        </row>
        <row r="429">
          <cell r="A429" t="str">
            <v>ITOT-SWHSOLBR</v>
          </cell>
          <cell r="B429" t="str">
            <v>VAR_ncap</v>
          </cell>
          <cell r="C429" t="str">
            <v>-</v>
          </cell>
          <cell r="E429">
            <v>2.60991886857544E-3</v>
          </cell>
          <cell r="F429">
            <v>1.415443629606E-8</v>
          </cell>
          <cell r="G429">
            <v>1.8464734901047899E-8</v>
          </cell>
          <cell r="H429">
            <v>3.8838998225759402E-3</v>
          </cell>
          <cell r="I429">
            <v>5.99698711221653E-3</v>
          </cell>
          <cell r="K429"/>
        </row>
        <row r="430">
          <cell r="A430" t="str">
            <v>ITOT-SWHSOLBR</v>
          </cell>
          <cell r="B430" t="str">
            <v>VAR_cap</v>
          </cell>
          <cell r="C430" t="str">
            <v>-</v>
          </cell>
          <cell r="D430">
            <v>9.8214799778629808E-3</v>
          </cell>
          <cell r="E430">
            <v>1.2431398846438421E-2</v>
          </cell>
          <cell r="F430">
            <v>1.2431413000874711E-2</v>
          </cell>
          <cell r="G430">
            <v>1.243143146560962E-2</v>
          </cell>
          <cell r="H430">
            <v>1.24307885490641E-2</v>
          </cell>
          <cell r="I430">
            <v>1.24309452388394E-2</v>
          </cell>
          <cell r="K430"/>
        </row>
        <row r="431">
          <cell r="A431" t="str">
            <v>SCOM-SHNGAHP</v>
          </cell>
          <cell r="B431" t="str">
            <v>VAR_fout</v>
          </cell>
          <cell r="C431" t="str">
            <v>SCOM-SHANGAH</v>
          </cell>
          <cell r="F431">
            <v>1.6521860645746476</v>
          </cell>
          <cell r="G431">
            <v>3.292513184888799</v>
          </cell>
          <cell r="H431">
            <v>5.6901920129499253</v>
          </cell>
          <cell r="I431">
            <v>8.2004237038079992</v>
          </cell>
          <cell r="K431"/>
        </row>
        <row r="432">
          <cell r="A432" t="str">
            <v>SCOM-SHNGAHP</v>
          </cell>
          <cell r="B432" t="str">
            <v>VAR_fout</v>
          </cell>
          <cell r="C432" t="str">
            <v>CO2_S</v>
          </cell>
          <cell r="F432">
            <v>48.746250375888302</v>
          </cell>
          <cell r="G432">
            <v>94.6311316485437</v>
          </cell>
          <cell r="H432">
            <v>157.34733953713601</v>
          </cell>
          <cell r="I432">
            <v>218.53340817071199</v>
          </cell>
          <cell r="K432"/>
        </row>
        <row r="433">
          <cell r="A433" t="str">
            <v>SCOM-SHNGAHP</v>
          </cell>
          <cell r="B433" t="str">
            <v>VAR_fin</v>
          </cell>
          <cell r="C433" t="str">
            <v>SCOMELCHPC</v>
          </cell>
          <cell r="F433">
            <v>1.6521860645746476</v>
          </cell>
          <cell r="G433">
            <v>3.292513184888799</v>
          </cell>
          <cell r="H433">
            <v>5.6901920129499253</v>
          </cell>
          <cell r="I433">
            <v>8.2004237038079992</v>
          </cell>
          <cell r="K433"/>
        </row>
        <row r="434">
          <cell r="A434" t="str">
            <v>SCOM-SHNGAHP</v>
          </cell>
          <cell r="B434" t="str">
            <v>VAR_fin</v>
          </cell>
          <cell r="C434" t="str">
            <v>SNGA</v>
          </cell>
          <cell r="F434">
            <v>0.86429521943064458</v>
          </cell>
          <cell r="G434">
            <v>1.6778569441231128</v>
          </cell>
          <cell r="H434">
            <v>2.78984644569391</v>
          </cell>
          <cell r="I434">
            <v>3.8747058186296441</v>
          </cell>
          <cell r="K434"/>
        </row>
        <row r="435">
          <cell r="A435" t="str">
            <v>SCOM-SHNGAHP</v>
          </cell>
          <cell r="B435" t="str">
            <v>VAR_ncap</v>
          </cell>
          <cell r="C435" t="str">
            <v>-</v>
          </cell>
          <cell r="D435">
            <v>1.92047651490079E-7</v>
          </cell>
          <cell r="E435">
            <v>1.9128634193615799E-5</v>
          </cell>
          <cell r="F435">
            <v>0.12771191725243</v>
          </cell>
          <cell r="G435">
            <v>0.126785811923809</v>
          </cell>
          <cell r="H435">
            <v>0.23202086110404499</v>
          </cell>
          <cell r="I435">
            <v>0.42582924470516698</v>
          </cell>
          <cell r="J435"/>
          <cell r="K435"/>
        </row>
        <row r="436">
          <cell r="A436" t="str">
            <v>SCOM-SHNGAHP</v>
          </cell>
          <cell r="B436" t="str">
            <v>VAR_cap</v>
          </cell>
          <cell r="C436" t="str">
            <v>-</v>
          </cell>
          <cell r="D436">
            <v>1.92047651490079E-7</v>
          </cell>
          <cell r="E436">
            <v>1.9251392417434436E-5</v>
          </cell>
          <cell r="F436">
            <v>0.12773110831672396</v>
          </cell>
          <cell r="G436">
            <v>0.25451690400059579</v>
          </cell>
          <cell r="H436">
            <v>0.44146629128360798</v>
          </cell>
          <cell r="I436">
            <v>0.63661210750840436</v>
          </cell>
          <cell r="J436"/>
          <cell r="K436"/>
        </row>
        <row r="437">
          <cell r="A437" t="str">
            <v>RHNS-SHNGABR</v>
          </cell>
          <cell r="B437" t="str">
            <v>VAR_fout</v>
          </cell>
          <cell r="C437" t="str">
            <v>CO2_R</v>
          </cell>
          <cell r="E437">
            <v>6.0645162849860803</v>
          </cell>
          <cell r="F437">
            <v>3.1679497410085</v>
          </cell>
          <cell r="G437">
            <v>6.5061435178958904</v>
          </cell>
          <cell r="H437">
            <v>9.5128091025955595</v>
          </cell>
          <cell r="I437">
            <v>10.1809308721853</v>
          </cell>
          <cell r="J437"/>
          <cell r="K437"/>
        </row>
        <row r="438">
          <cell r="A438" t="str">
            <v>RHNS-SHNGABR</v>
          </cell>
          <cell r="B438" t="str">
            <v>VAR_fout</v>
          </cell>
          <cell r="C438" t="str">
            <v>RHNS-SHNGA</v>
          </cell>
          <cell r="E438">
            <v>0.10215054026129035</v>
          </cell>
          <cell r="F438">
            <v>5.3916480321063477E-2</v>
          </cell>
          <cell r="G438">
            <v>0.11073040534947907</v>
          </cell>
          <cell r="H438">
            <v>0.16190292031387651</v>
          </cell>
          <cell r="I438">
            <v>0.17327399529869289</v>
          </cell>
          <cell r="J438"/>
          <cell r="K438"/>
        </row>
        <row r="439">
          <cell r="A439" t="str">
            <v>RHNS-SHNGABR</v>
          </cell>
          <cell r="B439" t="str">
            <v>VAR_fin</v>
          </cell>
          <cell r="C439" t="str">
            <v>RNGA</v>
          </cell>
          <cell r="E439">
            <v>0.10752688448556884</v>
          </cell>
          <cell r="F439">
            <v>5.6169321649086876E-2</v>
          </cell>
          <cell r="G439">
            <v>0.11535715457262223</v>
          </cell>
          <cell r="H439">
            <v>0.16866682806020497</v>
          </cell>
          <cell r="I439">
            <v>0.18051295872669013</v>
          </cell>
          <cell r="K439"/>
        </row>
        <row r="440">
          <cell r="A440" t="str">
            <v>RHNS-SHNGABR</v>
          </cell>
          <cell r="B440" t="str">
            <v>VAR_ncap</v>
          </cell>
          <cell r="C440" t="str">
            <v>-</v>
          </cell>
          <cell r="E440">
            <v>7.4773583740001997E-3</v>
          </cell>
          <cell r="F440">
            <v>3.4557715388931302E-7</v>
          </cell>
          <cell r="G440">
            <v>6.3600484389650803E-4</v>
          </cell>
          <cell r="H440">
            <v>5.5708306380053097E-3</v>
          </cell>
          <cell r="I440">
            <v>6.2456012238547697E-3</v>
          </cell>
        </row>
        <row r="441">
          <cell r="A441" t="str">
            <v>RHNS-SHNGABR</v>
          </cell>
          <cell r="B441" t="str">
            <v>VAR_cap</v>
          </cell>
          <cell r="C441" t="str">
            <v>-</v>
          </cell>
          <cell r="E441">
            <v>7.4773583740001997E-3</v>
          </cell>
          <cell r="F441">
            <v>7.4775901937275688E-3</v>
          </cell>
          <cell r="G441">
            <v>8.1135837895147337E-3</v>
          </cell>
          <cell r="H441">
            <v>1.1886799769488846E-2</v>
          </cell>
          <cell r="I441">
            <v>1.2776386477183637E-2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RHSA_LTH</v>
          </cell>
          <cell r="D442">
            <v>2.2667758753440545E-6</v>
          </cell>
          <cell r="E442">
            <v>5.6549355038937142E-6</v>
          </cell>
          <cell r="F442">
            <v>1.5050990040089598E-3</v>
          </cell>
          <cell r="G442">
            <v>9.1989988879268643E-4</v>
          </cell>
          <cell r="H442">
            <v>0.67490687352684275</v>
          </cell>
          <cell r="I442">
            <v>1.2441643221527889</v>
          </cell>
          <cell r="K442"/>
        </row>
        <row r="443">
          <cell r="A443" t="str">
            <v>D-RHNM_LTH_CHPNGA</v>
          </cell>
          <cell r="B443" t="str">
            <v>VAR_fout</v>
          </cell>
          <cell r="C443" t="str">
            <v>LTH</v>
          </cell>
          <cell r="G443">
            <v>8.2689520498186456E-5</v>
          </cell>
          <cell r="H443">
            <v>2.9305372056026451E-3</v>
          </cell>
          <cell r="I443">
            <v>4.1784469374686337E-3</v>
          </cell>
          <cell r="J443"/>
          <cell r="K443"/>
        </row>
        <row r="444">
          <cell r="A444" t="str">
            <v>D-RHNM_LTH_CHPNGA</v>
          </cell>
          <cell r="B444" t="str">
            <v>VAR_fout</v>
          </cell>
          <cell r="C444" t="str">
            <v>RHNM_LTH_CHPNGA_ON</v>
          </cell>
          <cell r="D444">
            <v>9.170569858656916E-6</v>
          </cell>
          <cell r="E444">
            <v>2.59366661189297E-3</v>
          </cell>
          <cell r="F444">
            <v>2.6857553360042898E-5</v>
          </cell>
          <cell r="G444">
            <v>0.227634026540081</v>
          </cell>
          <cell r="H444">
            <v>0.54699678843854616</v>
          </cell>
        </row>
        <row r="445">
          <cell r="A445" t="str">
            <v>D-RHNM_LTH_CHPNGA</v>
          </cell>
          <cell r="B445" t="str">
            <v>VAR_fin</v>
          </cell>
          <cell r="C445" t="str">
            <v>RHNM_LTH_CHPNGA</v>
          </cell>
          <cell r="D445">
            <v>1.1437345734000972E-5</v>
          </cell>
          <cell r="E445">
            <v>2.5996974133192232E-3</v>
          </cell>
          <cell r="F445">
            <v>1.5324831864150365E-3</v>
          </cell>
          <cell r="G445">
            <v>0.22863661594937185</v>
          </cell>
          <cell r="H445">
            <v>1.2248341991709912</v>
          </cell>
          <cell r="I445">
            <v>1.2483427690902575</v>
          </cell>
        </row>
        <row r="446">
          <cell r="A446" t="str">
            <v>RHNM-SHELCHP</v>
          </cell>
          <cell r="B446" t="str">
            <v>VAR_fout</v>
          </cell>
          <cell r="C446" t="str">
            <v>RHNM-SHAELCH</v>
          </cell>
          <cell r="E446">
            <v>3.8475833475028435E-5</v>
          </cell>
          <cell r="F446">
            <v>0.90158380196155508</v>
          </cell>
          <cell r="G446">
            <v>1.6521275491835052</v>
          </cell>
          <cell r="H446">
            <v>2.5964790489892526</v>
          </cell>
          <cell r="I446">
            <v>3.2351200020785851</v>
          </cell>
          <cell r="J446"/>
          <cell r="K446"/>
        </row>
        <row r="447">
          <cell r="A447" t="str">
            <v>RHNM-SHELCHP</v>
          </cell>
          <cell r="B447" t="str">
            <v>VAR_fin</v>
          </cell>
          <cell r="C447" t="str">
            <v>RHNM_ELC</v>
          </cell>
          <cell r="E447">
            <v>1.182658815830793E-5</v>
          </cell>
          <cell r="F447">
            <v>0.26552117454651442</v>
          </cell>
          <cell r="G447">
            <v>0.47269592141534827</v>
          </cell>
          <cell r="H447">
            <v>0.71131307512070407</v>
          </cell>
          <cell r="I447">
            <v>0.84832282418511284</v>
          </cell>
        </row>
        <row r="448">
          <cell r="A448" t="str">
            <v>RHNM-SHELCHP</v>
          </cell>
          <cell r="B448" t="str">
            <v>VAR_fin</v>
          </cell>
          <cell r="C448" t="str">
            <v>RHNMELCHPC</v>
          </cell>
          <cell r="E448">
            <v>3.8475833475028435E-5</v>
          </cell>
          <cell r="F448">
            <v>0.90158380196155508</v>
          </cell>
          <cell r="G448">
            <v>1.6521275491835052</v>
          </cell>
          <cell r="H448">
            <v>2.5964790489892526</v>
          </cell>
          <cell r="I448">
            <v>3.2351200020785851</v>
          </cell>
        </row>
        <row r="449">
          <cell r="A449" t="str">
            <v>RHNM-SHELCHP</v>
          </cell>
          <cell r="B449" t="str">
            <v>VAR_ncap</v>
          </cell>
          <cell r="C449" t="str">
            <v>-</v>
          </cell>
          <cell r="E449">
            <v>1.09777628175251E-4</v>
          </cell>
          <cell r="F449">
            <v>6.9904186056291007E-2</v>
          </cell>
          <cell r="G449">
            <v>5.8239931458636297E-2</v>
          </cell>
          <cell r="H449">
            <v>0.10952344567353001</v>
          </cell>
          <cell r="I449">
            <v>0.15423418840300601</v>
          </cell>
        </row>
        <row r="450">
          <cell r="A450" t="str">
            <v>RHNM-SHELCHP</v>
          </cell>
          <cell r="B450" t="str">
            <v>VAR_cap</v>
          </cell>
          <cell r="C450" t="str">
            <v>-</v>
          </cell>
          <cell r="E450">
            <v>1.09777628175251E-4</v>
          </cell>
          <cell r="F450">
            <v>7.0013877024251797E-2</v>
          </cell>
          <cell r="G450">
            <v>0.12825375886717114</v>
          </cell>
          <cell r="H450">
            <v>0.20283433215465468</v>
          </cell>
          <cell r="I450">
            <v>0.25112619277334314</v>
          </cell>
        </row>
        <row r="451">
          <cell r="A451" t="str">
            <v>D-IH2R</v>
          </cell>
          <cell r="B451" t="str">
            <v>VAR_fout</v>
          </cell>
          <cell r="C451" t="str">
            <v>IH2</v>
          </cell>
          <cell r="G451">
            <v>0.31374374306864539</v>
          </cell>
          <cell r="H451">
            <v>2.6736358281243482</v>
          </cell>
          <cell r="I451">
            <v>6.7478668184012491</v>
          </cell>
        </row>
        <row r="452">
          <cell r="A452" t="str">
            <v>D-IH2R</v>
          </cell>
          <cell r="B452" t="str">
            <v>VAR_fin</v>
          </cell>
          <cell r="C452" t="str">
            <v>H2</v>
          </cell>
          <cell r="G452">
            <v>0.31374374306864539</v>
          </cell>
          <cell r="H452">
            <v>2.6736358281243482</v>
          </cell>
          <cell r="I452">
            <v>6.7478668184012491</v>
          </cell>
        </row>
        <row r="453">
          <cell r="A453" t="str">
            <v>D-IH2R</v>
          </cell>
          <cell r="B453" t="str">
            <v>VAR_ncap</v>
          </cell>
          <cell r="C453" t="str">
            <v>-</v>
          </cell>
          <cell r="G453">
            <v>1.1081204941969999E-2</v>
          </cell>
          <cell r="H453">
            <v>8.7489818725232996E-2</v>
          </cell>
          <cell r="I453">
            <v>0.20778244825585099</v>
          </cell>
        </row>
        <row r="454">
          <cell r="A454" t="str">
            <v>D-IH2R</v>
          </cell>
          <cell r="B454" t="str">
            <v>VAR_cap</v>
          </cell>
          <cell r="C454" t="str">
            <v>-</v>
          </cell>
          <cell r="G454">
            <v>1.1081204941969999E-2</v>
          </cell>
          <cell r="H454">
            <v>9.42291399539536E-2</v>
          </cell>
          <cell r="I454">
            <v>0.237749570043054</v>
          </cell>
        </row>
        <row r="455">
          <cell r="A455" t="str">
            <v>RHEM-SHSTG-ELC</v>
          </cell>
          <cell r="B455" t="str">
            <v>VAR_fout</v>
          </cell>
          <cell r="C455" t="str">
            <v>RHEM-SHAELCB</v>
          </cell>
          <cell r="D455">
            <v>8.1288832009390691E-8</v>
          </cell>
          <cell r="E455">
            <v>0.49403421708215162</v>
          </cell>
          <cell r="F455">
            <v>9.3749880198024434E-3</v>
          </cell>
          <cell r="G455">
            <v>2.2551993026521592E-3</v>
          </cell>
          <cell r="H455">
            <v>4.5984515485671617E-4</v>
          </cell>
          <cell r="I455">
            <v>3.5140032916157438E-4</v>
          </cell>
        </row>
        <row r="456">
          <cell r="A456" t="str">
            <v>RHEM-SHSTG-ELC</v>
          </cell>
          <cell r="B456" t="str">
            <v>VAR_fin</v>
          </cell>
          <cell r="C456" t="str">
            <v>RHEM-SHAELCB</v>
          </cell>
          <cell r="D456">
            <v>4.7215664201344502E-7</v>
          </cell>
          <cell r="E456">
            <v>0.49405353964998938</v>
          </cell>
          <cell r="F456">
            <v>9.3741577308070288E-3</v>
          </cell>
          <cell r="G456">
            <v>2.2542513169478244E-3</v>
          </cell>
          <cell r="H456">
            <v>4.6348997479729056E-4</v>
          </cell>
          <cell r="I456">
            <v>3.5495662073003472E-4</v>
          </cell>
        </row>
        <row r="457">
          <cell r="A457" t="str">
            <v>RHEM-SHSTG-ELC</v>
          </cell>
          <cell r="B457" t="str">
            <v>VAR_ncap</v>
          </cell>
          <cell r="C457" t="str">
            <v>-</v>
          </cell>
          <cell r="D457">
            <v>4.8769529523166703E-3</v>
          </cell>
          <cell r="E457">
            <v>4.4507015218715702E-2</v>
          </cell>
          <cell r="F457">
            <v>7.0713276601435097E-6</v>
          </cell>
          <cell r="G457">
            <v>7.9488664807168607E-6</v>
          </cell>
          <cell r="H457">
            <v>8.5816853641435499E-5</v>
          </cell>
          <cell r="I457">
            <v>1.39026647241123E-5</v>
          </cell>
        </row>
        <row r="458">
          <cell r="A458" t="str">
            <v>RHEM-SHSTG-ELC</v>
          </cell>
          <cell r="B458" t="str">
            <v>VAR_cap</v>
          </cell>
          <cell r="C458" t="str">
            <v>-</v>
          </cell>
          <cell r="D458">
            <v>4.8769529523166703E-3</v>
          </cell>
          <cell r="E458">
            <v>4.9376875919035335E-2</v>
          </cell>
          <cell r="F458">
            <v>1.0731843362291049E-3</v>
          </cell>
          <cell r="G458">
            <v>3.8223262731799934E-4</v>
          </cell>
          <cell r="H458">
            <v>9.8276523045541997E-5</v>
          </cell>
          <cell r="I458">
            <v>7.2279922225857804E-5</v>
          </cell>
        </row>
        <row r="459">
          <cell r="A459" t="str">
            <v>RHNM-SHLTHCHPWOD</v>
          </cell>
          <cell r="B459" t="str">
            <v>VAR_ncap</v>
          </cell>
          <cell r="C459" t="str">
            <v>-</v>
          </cell>
          <cell r="G459">
            <v>8.6886144198473699E-5</v>
          </cell>
          <cell r="H459">
            <v>4.2900062156378303E-5</v>
          </cell>
          <cell r="I459">
            <v>2.5453295439945002E-5</v>
          </cell>
        </row>
        <row r="460">
          <cell r="A460" t="str">
            <v>RHNM-SHLTHCHPWOD</v>
          </cell>
          <cell r="B460" t="str">
            <v>VAR_cap</v>
          </cell>
          <cell r="C460" t="str">
            <v>-</v>
          </cell>
          <cell r="G460">
            <v>8.6886144198473699E-5</v>
          </cell>
          <cell r="H460">
            <v>8.1386252473660491E-5</v>
          </cell>
          <cell r="I460">
            <v>4.2192734438379896E-5</v>
          </cell>
        </row>
        <row r="461">
          <cell r="A461" t="str">
            <v>ITOT-SWHDEM</v>
          </cell>
          <cell r="B461" t="str">
            <v>VAR_fout</v>
          </cell>
          <cell r="C461" t="str">
            <v>ITOT-SWHD</v>
          </cell>
          <cell r="D461">
            <v>72.708169056255471</v>
          </cell>
          <cell r="E461">
            <v>74.111154758224004</v>
          </cell>
          <cell r="F461">
            <v>75.947057018356233</v>
          </cell>
          <cell r="G461">
            <v>77.065121999648809</v>
          </cell>
          <cell r="H461">
            <v>77.18538294502072</v>
          </cell>
          <cell r="I461">
            <v>77.170521074499433</v>
          </cell>
        </row>
        <row r="462">
          <cell r="A462" t="str">
            <v>ITOT-SWHDEM</v>
          </cell>
          <cell r="B462" t="str">
            <v>VAR_fin</v>
          </cell>
          <cell r="C462" t="str">
            <v>ITOT-SWHNGAH</v>
          </cell>
          <cell r="F462">
            <v>4.5607832043263264E-3</v>
          </cell>
          <cell r="G462">
            <v>5.6863318497869025E-3</v>
          </cell>
          <cell r="H462">
            <v>0.12093111607184515</v>
          </cell>
          <cell r="I462">
            <v>0.10511735707030084</v>
          </cell>
        </row>
        <row r="463">
          <cell r="A463" t="str">
            <v>ITOT-SWHDEM</v>
          </cell>
          <cell r="B463" t="str">
            <v>VAR_fin</v>
          </cell>
          <cell r="C463" t="str">
            <v>ITOT-SWH</v>
          </cell>
          <cell r="D463">
            <v>61.71850291089654</v>
          </cell>
          <cell r="E463">
            <v>58.13663198325321</v>
          </cell>
          <cell r="F463">
            <v>58.291552386594461</v>
          </cell>
          <cell r="G463">
            <v>59.140900371311062</v>
          </cell>
          <cell r="H463">
            <v>57.380170901402067</v>
          </cell>
          <cell r="I463">
            <v>57.243705796380233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ITOT-SWHELCH</v>
          </cell>
          <cell r="D464">
            <v>1.1081275654045448</v>
          </cell>
          <cell r="E464">
            <v>1.400791340389351</v>
          </cell>
          <cell r="F464">
            <v>2.1656105929595042</v>
          </cell>
          <cell r="G464">
            <v>2.3930454486942474</v>
          </cell>
          <cell r="H464">
            <v>3.7452242656948429</v>
          </cell>
          <cell r="I464">
            <v>3.7662710393901069</v>
          </cell>
        </row>
        <row r="465">
          <cell r="A465" t="str">
            <v>ITOT-SWHDEM</v>
          </cell>
          <cell r="B465" t="str">
            <v>VAR_fin</v>
          </cell>
          <cell r="C465" t="str">
            <v>ITOT-SWHC</v>
          </cell>
          <cell r="E465">
            <v>4.1532388125259994</v>
          </cell>
          <cell r="F465">
            <v>4.1532781519847317</v>
          </cell>
          <cell r="G465">
            <v>4.1532642249166534</v>
          </cell>
          <cell r="H465">
            <v>4.6069116769791547</v>
          </cell>
          <cell r="I465">
            <v>4.7563420663311327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ITOT-SWHELC</v>
          </cell>
          <cell r="D466">
            <v>9.8138995681226131</v>
          </cell>
          <cell r="E466">
            <v>10.33508362655045</v>
          </cell>
          <cell r="F466">
            <v>11.248056619974722</v>
          </cell>
          <cell r="G466">
            <v>11.287184047936828</v>
          </cell>
          <cell r="H466">
            <v>11.250083571733635</v>
          </cell>
          <cell r="I466">
            <v>11.21514552273462</v>
          </cell>
        </row>
        <row r="467">
          <cell r="A467" t="str">
            <v>ITOT-SWHDEM</v>
          </cell>
          <cell r="B467" t="str">
            <v>VAR_fin</v>
          </cell>
          <cell r="C467" t="str">
            <v>ITOT-SWHSOL</v>
          </cell>
          <cell r="D467">
            <v>6.7639011831780865E-2</v>
          </cell>
          <cell r="E467">
            <v>8.550091491002014E-2</v>
          </cell>
          <cell r="F467">
            <v>8.4102040878590717E-2</v>
          </cell>
          <cell r="G467">
            <v>8.5139801709544424E-2</v>
          </cell>
          <cell r="H467">
            <v>8.2567534351375288E-2</v>
          </cell>
          <cell r="I467">
            <v>8.4227683787267665E-2</v>
          </cell>
        </row>
        <row r="468">
          <cell r="A468" t="str">
            <v>D-RHNS_NKEV_GAS_ELC_CHP</v>
          </cell>
          <cell r="B468" t="str">
            <v>VAR_fout</v>
          </cell>
          <cell r="C468" t="str">
            <v>RHNS_ELC</v>
          </cell>
          <cell r="E468">
            <v>1.9234210677580296E-4</v>
          </cell>
          <cell r="F468">
            <v>2.5427754178048318E-4</v>
          </cell>
          <cell r="G468">
            <v>3.1241132834135276E-4</v>
          </cell>
          <cell r="H468">
            <v>6.3121730311729689E-4</v>
          </cell>
          <cell r="I468">
            <v>3.9210036696180132E-4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ELC5</v>
          </cell>
          <cell r="E469">
            <v>1.9234180836120635E-4</v>
          </cell>
          <cell r="F469">
            <v>2.5448548324250676E-4</v>
          </cell>
          <cell r="G469">
            <v>3.1273335561520351E-4</v>
          </cell>
          <cell r="H469">
            <v>6.3208286892910397E-4</v>
          </cell>
          <cell r="I469">
            <v>3.9238592660431019E-4</v>
          </cell>
        </row>
        <row r="470">
          <cell r="A470" t="str">
            <v>D-RHNS_NKEV_GAS_ELC_CHP</v>
          </cell>
          <cell r="B470" t="str">
            <v>VAR_fin</v>
          </cell>
          <cell r="C470" t="str">
            <v>RHNS_NKEV_GAS_ELC_CHP</v>
          </cell>
          <cell r="E470">
            <v>3.8468391513700939E-4</v>
          </cell>
          <cell r="F470">
            <v>5.0540543441099123E-4</v>
          </cell>
          <cell r="G470">
            <v>6.2514468395655708E-4</v>
          </cell>
          <cell r="H470">
            <v>1.2633001720464023E-3</v>
          </cell>
          <cell r="I470">
            <v>7.8448629356611113E-4</v>
          </cell>
        </row>
        <row r="471">
          <cell r="A471" t="str">
            <v>RHNM-SHSTG-NGAHP</v>
          </cell>
          <cell r="B471" t="str">
            <v>VAR_fout</v>
          </cell>
          <cell r="C471" t="str">
            <v>RHNM-SHANGAH</v>
          </cell>
          <cell r="F471">
            <v>1.5068995119202214E-2</v>
          </cell>
          <cell r="G471">
            <v>3.7752794999997979E-2</v>
          </cell>
          <cell r="H471">
            <v>6.3133737301020398E-2</v>
          </cell>
          <cell r="I471">
            <v>0.18991480380506362</v>
          </cell>
        </row>
        <row r="472">
          <cell r="A472" t="str">
            <v>RHNM-SHSTG-NGAHP</v>
          </cell>
          <cell r="B472" t="str">
            <v>VAR_fin</v>
          </cell>
          <cell r="C472" t="str">
            <v>RHNM-SHANGAH</v>
          </cell>
          <cell r="F472">
            <v>1.5074866334492487E-2</v>
          </cell>
          <cell r="G472">
            <v>3.7761369134167777E-2</v>
          </cell>
          <cell r="H472">
            <v>6.3147501819947202E-2</v>
          </cell>
          <cell r="I472">
            <v>0.18993170837197676</v>
          </cell>
        </row>
        <row r="473">
          <cell r="A473" t="str">
            <v>RHNM-SHSTG-NGAHP</v>
          </cell>
          <cell r="B473" t="str">
            <v>VAR_ncap</v>
          </cell>
          <cell r="C473" t="str">
            <v>-</v>
          </cell>
          <cell r="D473">
            <v>5.3908543501545599E-6</v>
          </cell>
          <cell r="E473">
            <v>3.0871020679929598E-6</v>
          </cell>
          <cell r="F473">
            <v>4.2068019096684504E-3</v>
          </cell>
          <cell r="G473">
            <v>8.3022934748864605E-3</v>
          </cell>
          <cell r="H473">
            <v>1.07981560695222E-2</v>
          </cell>
          <cell r="I473">
            <v>2.1358801463098698E-2</v>
          </cell>
        </row>
        <row r="474">
          <cell r="A474" t="str">
            <v>RHNM-SHSTG-NGAHP</v>
          </cell>
          <cell r="B474" t="str">
            <v>VAR_cap</v>
          </cell>
          <cell r="C474" t="str">
            <v>-</v>
          </cell>
          <cell r="D474">
            <v>5.3908543501545599E-6</v>
          </cell>
          <cell r="E474">
            <v>2.2043428609027053E-7</v>
          </cell>
          <cell r="F474">
            <v>4.2049142139320012E-3</v>
          </cell>
          <cell r="G474">
            <v>1.2501740804696682E-2</v>
          </cell>
          <cell r="H474">
            <v>2.3333950269488195E-2</v>
          </cell>
          <cell r="I474">
            <v>3.17769516923175E-2</v>
          </cell>
        </row>
        <row r="475">
          <cell r="A475" t="str">
            <v>D-IBIO</v>
          </cell>
          <cell r="B475" t="str">
            <v>VAR_fout</v>
          </cell>
          <cell r="C475" t="str">
            <v>IBIO</v>
          </cell>
          <cell r="D475">
            <v>0.43672591874092204</v>
          </cell>
          <cell r="E475">
            <v>0.5520652427091518</v>
          </cell>
          <cell r="F475">
            <v>2.4035812880047565</v>
          </cell>
          <cell r="G475">
            <v>5.7740959704200439</v>
          </cell>
          <cell r="H475">
            <v>8.2782243240511413</v>
          </cell>
          <cell r="I475">
            <v>9.0481726667279023</v>
          </cell>
        </row>
        <row r="476">
          <cell r="A476" t="str">
            <v>D-IBIO</v>
          </cell>
          <cell r="B476" t="str">
            <v>VAR_fin</v>
          </cell>
          <cell r="C476" t="str">
            <v>BIO</v>
          </cell>
          <cell r="D476">
            <v>0.43672591874092204</v>
          </cell>
          <cell r="E476">
            <v>0.5520652427091518</v>
          </cell>
          <cell r="F476">
            <v>2.4035812880047565</v>
          </cell>
          <cell r="G476">
            <v>5.7740959704200439</v>
          </cell>
          <cell r="H476">
            <v>8.2782243240511413</v>
          </cell>
          <cell r="I476">
            <v>9.0481726667279023</v>
          </cell>
        </row>
        <row r="477">
          <cell r="A477" t="str">
            <v>D-RHES_KEV_WOD_ELC_CHP</v>
          </cell>
          <cell r="B477" t="str">
            <v>VAR_fout</v>
          </cell>
          <cell r="C477" t="str">
            <v>RHES_ELC</v>
          </cell>
          <cell r="G477">
            <v>7.3267477607145891E-5</v>
          </cell>
          <cell r="H477">
            <v>1.189298202110716E-4</v>
          </cell>
          <cell r="I477">
            <v>6.7005087522558035E-5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ELC5</v>
          </cell>
          <cell r="G478">
            <v>1.2790009550513201E-4</v>
          </cell>
          <cell r="H478">
            <v>1.1896163434511913E-4</v>
          </cell>
          <cell r="I478">
            <v>6.7028192047201448E-5</v>
          </cell>
        </row>
        <row r="479">
          <cell r="A479" t="str">
            <v>D-RHES_KEV_WOD_ELC_CHP</v>
          </cell>
          <cell r="B479" t="str">
            <v>VAR_fin</v>
          </cell>
          <cell r="C479" t="str">
            <v>RHES_KEV_WOD_ELC_CHP</v>
          </cell>
          <cell r="G479">
            <v>1.9908981521493991E-4</v>
          </cell>
          <cell r="H479">
            <v>2.3368585393306019E-4</v>
          </cell>
          <cell r="I479">
            <v>1.3074638275987251E-4</v>
          </cell>
        </row>
        <row r="480">
          <cell r="A480" t="str">
            <v>RHNS-SHLFOBR</v>
          </cell>
          <cell r="B480" t="str">
            <v>VAR_fout</v>
          </cell>
          <cell r="C480" t="str">
            <v>CO2_R</v>
          </cell>
          <cell r="E480">
            <v>1.3662485796428301E-3</v>
          </cell>
          <cell r="F480">
            <v>3.3313420718132098</v>
          </cell>
          <cell r="G480">
            <v>5.1191710677795799</v>
          </cell>
          <cell r="H480">
            <v>5.7653691673032297</v>
          </cell>
        </row>
        <row r="481">
          <cell r="A481" t="str">
            <v>RHNS-SHLFOBR</v>
          </cell>
          <cell r="B481" t="str">
            <v>VAR_fout</v>
          </cell>
          <cell r="C481" t="str">
            <v>RHNS-SHLFO</v>
          </cell>
          <cell r="E481">
            <v>1.6606933775622363E-5</v>
          </cell>
          <cell r="F481">
            <v>4.2908572121103113E-2</v>
          </cell>
          <cell r="G481">
            <v>6.5940918441212498E-2</v>
          </cell>
          <cell r="H481">
            <v>7.4271961424608748E-2</v>
          </cell>
        </row>
        <row r="482">
          <cell r="A482" t="str">
            <v>RHNS-SHLFOBR</v>
          </cell>
          <cell r="B482" t="str">
            <v>VAR_fin</v>
          </cell>
          <cell r="C482" t="str">
            <v>RLFO</v>
          </cell>
          <cell r="E482">
            <v>1.8537972586741235E-5</v>
          </cell>
          <cell r="F482">
            <v>4.520138496354429E-2</v>
          </cell>
          <cell r="G482">
            <v>6.945958029551666E-2</v>
          </cell>
          <cell r="H482">
            <v>7.8227532799229629E-2</v>
          </cell>
        </row>
        <row r="483">
          <cell r="A483" t="str">
            <v>RHNS-SHLFOBR</v>
          </cell>
          <cell r="B483" t="str">
            <v>VAR_ncap</v>
          </cell>
          <cell r="C483" t="str">
            <v>-</v>
          </cell>
          <cell r="E483">
            <v>6.1615131299021696E-6</v>
          </cell>
          <cell r="F483">
            <v>3.0550985883158101E-2</v>
          </cell>
        </row>
        <row r="484">
          <cell r="A484" t="str">
            <v>RHNS-SHLFOBR</v>
          </cell>
          <cell r="B484" t="str">
            <v>VAR_cap</v>
          </cell>
          <cell r="C484" t="str">
            <v>-</v>
          </cell>
          <cell r="E484">
            <v>6.1615131299021696E-6</v>
          </cell>
          <cell r="F484">
            <v>3.0555011114503993E-2</v>
          </cell>
          <cell r="G484">
            <v>3.0553343416741773E-2</v>
          </cell>
          <cell r="H484">
            <v>5.4112445799333582E-3</v>
          </cell>
        </row>
        <row r="485">
          <cell r="A485" t="str">
            <v>D-SNGA</v>
          </cell>
          <cell r="B485" t="str">
            <v>VAR_fout</v>
          </cell>
          <cell r="C485" t="str">
            <v>CO2</v>
          </cell>
          <cell r="D485">
            <v>1521.9392627894199</v>
          </cell>
          <cell r="E485">
            <v>1512.9595828792901</v>
          </cell>
          <cell r="F485">
            <v>1355.8761448857999</v>
          </cell>
          <cell r="G485">
            <v>1285.57585731616</v>
          </cell>
          <cell r="H485">
            <v>952.49832642216495</v>
          </cell>
          <cell r="I485">
            <v>675.06957809255198</v>
          </cell>
        </row>
        <row r="486">
          <cell r="A486" t="str">
            <v>D-SNGA</v>
          </cell>
          <cell r="B486" t="str">
            <v>VAR_fout</v>
          </cell>
          <cell r="C486" t="str">
            <v>SNGA</v>
          </cell>
          <cell r="D486">
            <v>27.205353045569371</v>
          </cell>
          <cell r="E486">
            <v>28.488357531009193</v>
          </cell>
          <cell r="F486">
            <v>25.13987437278983</v>
          </cell>
          <cell r="G486">
            <v>22.722581474555138</v>
          </cell>
          <cell r="H486">
            <v>16.835221181332138</v>
          </cell>
          <cell r="I486">
            <v>11.952521036932387</v>
          </cell>
        </row>
        <row r="487">
          <cell r="A487" t="str">
            <v>D-SNGA</v>
          </cell>
          <cell r="B487" t="str">
            <v>VAR_fin</v>
          </cell>
          <cell r="C487" t="str">
            <v>NGA</v>
          </cell>
          <cell r="D487">
            <v>26.984738701940028</v>
          </cell>
          <cell r="E487">
            <v>26.825524519136362</v>
          </cell>
          <cell r="F487">
            <v>24.040357178826206</v>
          </cell>
          <cell r="G487">
            <v>22.793898179364451</v>
          </cell>
          <cell r="H487">
            <v>16.888268198974551</v>
          </cell>
          <cell r="I487">
            <v>11.969318760506235</v>
          </cell>
        </row>
        <row r="488">
          <cell r="A488" t="str">
            <v>D-SNGA</v>
          </cell>
          <cell r="B488" t="str">
            <v>VAR_fin</v>
          </cell>
          <cell r="C488" t="str">
            <v>BNGA</v>
          </cell>
          <cell r="D488">
            <v>0.30752509736887812</v>
          </cell>
          <cell r="E488">
            <v>1.7538424768731116</v>
          </cell>
          <cell r="F488">
            <v>1.1649231633435373</v>
          </cell>
          <cell r="G488">
            <v>9.9984362932693349E-4</v>
          </cell>
          <cell r="H488">
            <v>1.033177888613964E-4</v>
          </cell>
          <cell r="I488">
            <v>3.9216410862240814E-5</v>
          </cell>
        </row>
        <row r="489">
          <cell r="A489" t="str">
            <v>D-SNGA</v>
          </cell>
          <cell r="B489" t="str">
            <v>VAR_fin</v>
          </cell>
          <cell r="C489" t="str">
            <v>H2</v>
          </cell>
          <cell r="F489">
            <v>1.4906365732836841E-2</v>
          </cell>
          <cell r="G489">
            <v>2.7967180600012574E-4</v>
          </cell>
          <cell r="H489">
            <v>6.4821894679003309E-4</v>
          </cell>
          <cell r="I489">
            <v>2.1361133084862875E-2</v>
          </cell>
        </row>
        <row r="490">
          <cell r="A490" t="str">
            <v>D-SNGA</v>
          </cell>
          <cell r="B490" t="str">
            <v>VAR_ncap</v>
          </cell>
          <cell r="C490" t="str">
            <v>-</v>
          </cell>
          <cell r="D490">
            <v>6.50278669428246E-8</v>
          </cell>
          <cell r="E490">
            <v>6.1065353919290795E-8</v>
          </cell>
          <cell r="F490">
            <v>7.1289430468253996E-8</v>
          </cell>
          <cell r="G490">
            <v>8.3914678223777294E-8</v>
          </cell>
          <cell r="H490">
            <v>1.6926902346339199E-7</v>
          </cell>
          <cell r="I490">
            <v>2.8579488201742002E-7</v>
          </cell>
        </row>
        <row r="491">
          <cell r="A491" t="str">
            <v>D-SNGA</v>
          </cell>
          <cell r="B491" t="str">
            <v>VAR_cap</v>
          </cell>
          <cell r="C491" t="str">
            <v>-</v>
          </cell>
          <cell r="D491">
            <v>2.2350522666530073</v>
          </cell>
          <cell r="E491">
            <v>2.2350523277183609</v>
          </cell>
          <cell r="F491">
            <v>2.2350523990077913</v>
          </cell>
          <cell r="G491">
            <v>2.2350524829224696</v>
          </cell>
          <cell r="H491">
            <v>2.2350527804463534</v>
          </cell>
          <cell r="I491">
            <v>1.1208913671049554</v>
          </cell>
        </row>
        <row r="492">
          <cell r="A492" t="str">
            <v>D-IPLT</v>
          </cell>
          <cell r="B492" t="str">
            <v>VAR_fout</v>
          </cell>
          <cell r="C492" t="str">
            <v>IPLT</v>
          </cell>
          <cell r="D492">
            <v>0.6257876771667773</v>
          </cell>
          <cell r="E492">
            <v>0.73757343594241342</v>
          </cell>
          <cell r="F492">
            <v>0.73650781861524639</v>
          </cell>
          <cell r="G492">
            <v>0.73444250422573998</v>
          </cell>
          <cell r="H492">
            <v>0.73035047504535577</v>
          </cell>
          <cell r="I492">
            <v>0.72629612454041059</v>
          </cell>
        </row>
        <row r="493">
          <cell r="A493" t="str">
            <v>D-IPLT</v>
          </cell>
          <cell r="B493" t="str">
            <v>VAR_fin</v>
          </cell>
          <cell r="C493" t="str">
            <v>PLT</v>
          </cell>
          <cell r="D493">
            <v>0.6257876771667773</v>
          </cell>
          <cell r="E493">
            <v>0.73757343594241342</v>
          </cell>
          <cell r="F493">
            <v>0.73650781861524639</v>
          </cell>
          <cell r="G493">
            <v>0.73444250422573998</v>
          </cell>
          <cell r="H493">
            <v>0.73035047504535577</v>
          </cell>
          <cell r="I493">
            <v>0.72629612454041059</v>
          </cell>
        </row>
        <row r="494">
          <cell r="A494" t="str">
            <v>ITOT-SWHWODBR</v>
          </cell>
          <cell r="B494" t="str">
            <v>VAR_fout</v>
          </cell>
          <cell r="C494" t="str">
            <v>ITOT-SWH</v>
          </cell>
          <cell r="D494">
            <v>5.3111190261122267</v>
          </cell>
          <cell r="E494">
            <v>6.2669383021722505</v>
          </cell>
          <cell r="F494">
            <v>5.8075030156520988</v>
          </cell>
          <cell r="G494">
            <v>6.2640772323201146</v>
          </cell>
          <cell r="H494">
            <v>9.7236242408260622</v>
          </cell>
          <cell r="I494">
            <v>9.4640291164465822</v>
          </cell>
        </row>
        <row r="495">
          <cell r="A495" t="str">
            <v>ITOT-SWHWODBR</v>
          </cell>
          <cell r="B495" t="str">
            <v>VAR_fin</v>
          </cell>
          <cell r="C495" t="str">
            <v>IWOD</v>
          </cell>
          <cell r="D495">
            <v>9.0018966544274956</v>
          </cell>
          <cell r="E495">
            <v>10.609940692165205</v>
          </cell>
          <cell r="F495">
            <v>9.8154980546232693</v>
          </cell>
          <cell r="G495">
            <v>10.557433537618188</v>
          </cell>
          <cell r="H495">
            <v>16.296576939931924</v>
          </cell>
          <cell r="I495">
            <v>15.773381860744305</v>
          </cell>
        </row>
        <row r="496">
          <cell r="A496" t="str">
            <v>ITOT-SWHWODBR</v>
          </cell>
          <cell r="B496" t="str">
            <v>VAR_fin</v>
          </cell>
          <cell r="C496" t="str">
            <v>ITOTWODBRC</v>
          </cell>
          <cell r="D496">
            <v>5.3111190261122267</v>
          </cell>
          <cell r="E496">
            <v>6.2669383021722505</v>
          </cell>
          <cell r="F496">
            <v>5.8075030156520988</v>
          </cell>
          <cell r="G496">
            <v>6.2640772323201146</v>
          </cell>
          <cell r="H496">
            <v>9.7236242408260622</v>
          </cell>
          <cell r="I496">
            <v>9.4640291164465822</v>
          </cell>
        </row>
        <row r="497">
          <cell r="A497" t="str">
            <v>ITOT-SWHWODBR</v>
          </cell>
          <cell r="B497" t="str">
            <v>VAR_ncap</v>
          </cell>
          <cell r="C497" t="str">
            <v>-</v>
          </cell>
          <cell r="E497">
            <v>5.2157886345669299E-2</v>
          </cell>
          <cell r="F497">
            <v>4.4272104443293399E-6</v>
          </cell>
          <cell r="G497">
            <v>1.07215508488572E-4</v>
          </cell>
          <cell r="H497">
            <v>0.31919251897419298</v>
          </cell>
          <cell r="I497">
            <v>0.22502011029928601</v>
          </cell>
        </row>
        <row r="498">
          <cell r="A498" t="str">
            <v>ITOT-SWHWODBR</v>
          </cell>
          <cell r="B498" t="str">
            <v>VAR_cap</v>
          </cell>
          <cell r="C498" t="str">
            <v>-</v>
          </cell>
          <cell r="D498">
            <v>0.28883369534761499</v>
          </cell>
          <cell r="E498">
            <v>0.34099103304219686</v>
          </cell>
          <cell r="F498">
            <v>0.3409866354695551</v>
          </cell>
          <cell r="G498">
            <v>0.34108671521747574</v>
          </cell>
          <cell r="H498">
            <v>0.56268962535936429</v>
          </cell>
          <cell r="I498">
            <v>0.55963370785902888</v>
          </cell>
        </row>
        <row r="499">
          <cell r="A499" t="str">
            <v>D-ITOT_KEV_WOD_ELC_CHP</v>
          </cell>
          <cell r="B499" t="str">
            <v>VAR_fout</v>
          </cell>
          <cell r="C499" t="str">
            <v>ITOT_ELC</v>
          </cell>
          <cell r="D499">
            <v>1.738261852614602E-4</v>
          </cell>
          <cell r="E499">
            <v>6.6202558275273572E-5</v>
          </cell>
          <cell r="F499">
            <v>1.1846862593223956E-4</v>
          </cell>
          <cell r="G499">
            <v>7.816570708462998E-4</v>
          </cell>
          <cell r="H499">
            <v>4.3836004314955099</v>
          </cell>
          <cell r="I499">
            <v>5.1882969775929197</v>
          </cell>
        </row>
        <row r="500">
          <cell r="A500" t="str">
            <v>D-ITOT_KEV_WOD_ELC_CHP</v>
          </cell>
          <cell r="B500" t="str">
            <v>VAR_fout</v>
          </cell>
          <cell r="C500" t="str">
            <v>ELC5</v>
          </cell>
          <cell r="D500">
            <v>0.17229213384046047</v>
          </cell>
          <cell r="E500">
            <v>0.52067649232238034</v>
          </cell>
          <cell r="F500">
            <v>0.93053902888284734</v>
          </cell>
          <cell r="G500">
            <v>1.6372661417414007</v>
          </cell>
          <cell r="H500">
            <v>0.15245849710003939</v>
          </cell>
          <cell r="I500">
            <v>0.69462734012698135</v>
          </cell>
        </row>
        <row r="501">
          <cell r="A501" t="str">
            <v>D-ITOT_KEV_WOD_ELC_CHP</v>
          </cell>
          <cell r="B501" t="str">
            <v>VAR_fin</v>
          </cell>
          <cell r="C501" t="str">
            <v>ITOT_KEV_WOD_ELC_CHP</v>
          </cell>
          <cell r="D501">
            <v>0.17246596002572162</v>
          </cell>
          <cell r="E501">
            <v>0.5207426948806555</v>
          </cell>
          <cell r="F501">
            <v>0.93065607905338055</v>
          </cell>
          <cell r="G501">
            <v>1.6380461097315191</v>
          </cell>
          <cell r="H501">
            <v>4.5360374275928725</v>
          </cell>
          <cell r="I501">
            <v>5.8829191865159345</v>
          </cell>
        </row>
        <row r="502">
          <cell r="A502" t="str">
            <v>RHEM-SHSTG-SOL</v>
          </cell>
          <cell r="B502" t="str">
            <v>VAR_fout</v>
          </cell>
          <cell r="C502" t="str">
            <v>RHEM-SHASOL</v>
          </cell>
          <cell r="D502">
            <v>2.5849635336331558E-6</v>
          </cell>
          <cell r="E502">
            <v>1.8753832694265838E-6</v>
          </cell>
          <cell r="F502">
            <v>1.3050274014174241E-3</v>
          </cell>
          <cell r="G502">
            <v>9.5928978149519093E-4</v>
          </cell>
          <cell r="H502">
            <v>8.5584134792940467E-4</v>
          </cell>
          <cell r="I502">
            <v>5.7961056242327141E-4</v>
          </cell>
        </row>
        <row r="503">
          <cell r="A503" t="str">
            <v>RHEM-SHSTG-SOL</v>
          </cell>
          <cell r="B503" t="str">
            <v>VAR_fin</v>
          </cell>
          <cell r="C503" t="str">
            <v>RHEM-SHASOL</v>
          </cell>
          <cell r="D503">
            <v>4.5185109864889323E-7</v>
          </cell>
          <cell r="E503">
            <v>1.5491803705147818E-6</v>
          </cell>
          <cell r="F503">
            <v>1.304321769815748E-3</v>
          </cell>
          <cell r="G503">
            <v>9.5891934844865895E-4</v>
          </cell>
          <cell r="H503">
            <v>8.5577178473138032E-4</v>
          </cell>
          <cell r="I503">
            <v>5.7949019350006655E-4</v>
          </cell>
        </row>
        <row r="504">
          <cell r="A504" t="str">
            <v>RHEM-SHSTG-SOL</v>
          </cell>
          <cell r="B504" t="str">
            <v>VAR_ncap</v>
          </cell>
          <cell r="C504" t="str">
            <v>-</v>
          </cell>
          <cell r="D504">
            <v>1.41581783767317E-2</v>
          </cell>
          <cell r="E504">
            <v>1.9335927598766701E-3</v>
          </cell>
          <cell r="F504">
            <v>6.2586203472152997E-8</v>
          </cell>
          <cell r="G504">
            <v>9.4973507178346598E-8</v>
          </cell>
          <cell r="H504">
            <v>4.2402061711691502E-4</v>
          </cell>
          <cell r="I504">
            <v>1.3565149636034601E-4</v>
          </cell>
        </row>
        <row r="505">
          <cell r="A505" t="str">
            <v>RHEM-SHSTG-SOL</v>
          </cell>
          <cell r="B505" t="str">
            <v>VAR_cap</v>
          </cell>
          <cell r="C505" t="str">
            <v>-</v>
          </cell>
          <cell r="D505">
            <v>1.41581783767317E-2</v>
          </cell>
          <cell r="E505">
            <v>1.6091771136608399E-2</v>
          </cell>
          <cell r="F505">
            <v>1.60918337228119E-2</v>
          </cell>
          <cell r="G505">
            <v>1.6091928696319101E-2</v>
          </cell>
          <cell r="H505">
            <v>4.4831358506198902E-4</v>
          </cell>
          <cell r="I505">
            <v>4.5362114165840199E-4</v>
          </cell>
        </row>
        <row r="506">
          <cell r="A506" t="str">
            <v>ITOT-SWHCONBR10</v>
          </cell>
          <cell r="B506" t="str">
            <v>VAR_fout</v>
          </cell>
          <cell r="C506" t="str">
            <v>ITOT-ELS</v>
          </cell>
          <cell r="E506">
            <v>8.3426475698886549E-6</v>
          </cell>
          <cell r="F506">
            <v>8.3013695314475836E-6</v>
          </cell>
          <cell r="G506">
            <v>8.0780854332969772E-6</v>
          </cell>
          <cell r="H506">
            <v>1.0309848779405641E-5</v>
          </cell>
          <cell r="I506">
            <v>4.6186428651664742E-6</v>
          </cell>
        </row>
        <row r="507">
          <cell r="A507" t="str">
            <v>ITOT-SWHCONBR10</v>
          </cell>
          <cell r="B507" t="str">
            <v>VAR_fout</v>
          </cell>
          <cell r="C507" t="str">
            <v>ITOT-SWHC</v>
          </cell>
          <cell r="E507">
            <v>5.3141611770401256E-5</v>
          </cell>
          <cell r="F507">
            <v>5.2888327603781247E-5</v>
          </cell>
          <cell r="G507">
            <v>5.0454849971407861E-5</v>
          </cell>
          <cell r="H507">
            <v>6.6012185215486209E-5</v>
          </cell>
          <cell r="I507">
            <v>3.5055037140538585E-5</v>
          </cell>
        </row>
        <row r="508">
          <cell r="A508" t="str">
            <v>ITOT-SWHCONBR10</v>
          </cell>
          <cell r="B508" t="str">
            <v>VAR_fin</v>
          </cell>
          <cell r="C508" t="str">
            <v>CON</v>
          </cell>
          <cell r="E508">
            <v>6.1771152638380453E-5</v>
          </cell>
          <cell r="F508">
            <v>6.1476738253947292E-5</v>
          </cell>
          <cell r="G508">
            <v>5.8648093934296822E-5</v>
          </cell>
          <cell r="H508">
            <v>7.6731748117771746E-5</v>
          </cell>
          <cell r="I508">
            <v>4.0747541856801224E-5</v>
          </cell>
        </row>
        <row r="509">
          <cell r="A509" t="str">
            <v>ITOT-SWHCONBR10</v>
          </cell>
          <cell r="B509" t="str">
            <v>VAR_ncap</v>
          </cell>
          <cell r="C509" t="str">
            <v>-</v>
          </cell>
          <cell r="E509">
            <v>2.8036932533483299E-6</v>
          </cell>
          <cell r="F509">
            <v>4.3174593258259201E-8</v>
          </cell>
          <cell r="G509">
            <v>2.4996187163413399E-8</v>
          </cell>
          <cell r="H509">
            <v>1.9226591016685101E-7</v>
          </cell>
          <cell r="I509">
            <v>4.5178438552252802E-7</v>
          </cell>
        </row>
        <row r="510">
          <cell r="A510" t="str">
            <v>ITOT-SWHCONBR10</v>
          </cell>
          <cell r="B510" t="str">
            <v>VAR_cap</v>
          </cell>
          <cell r="C510" t="str">
            <v>-</v>
          </cell>
          <cell r="E510">
            <v>2.8036932533483299E-6</v>
          </cell>
          <cell r="F510">
            <v>2.8468678466065902E-6</v>
          </cell>
          <cell r="G510">
            <v>2.8718640337699998E-6</v>
          </cell>
          <cell r="H510">
            <v>2.5407777509346901E-6</v>
          </cell>
          <cell r="I510">
            <v>1.57427005118281E-6</v>
          </cell>
        </row>
        <row r="511">
          <cell r="A511" t="str">
            <v>SCOM-SHSTG</v>
          </cell>
          <cell r="B511" t="str">
            <v>VAR_fout</v>
          </cell>
          <cell r="C511" t="str">
            <v>AUX_SCOM-SHSTG_OUT</v>
          </cell>
          <cell r="D511">
            <v>1.37487422379288E-8</v>
          </cell>
          <cell r="E511">
            <v>4.5697718886153141E-5</v>
          </cell>
          <cell r="F511">
            <v>1.4915127807005781E-5</v>
          </cell>
          <cell r="G511">
            <v>1.350882695615983E-5</v>
          </cell>
          <cell r="H511">
            <v>1.3460757656913439E-4</v>
          </cell>
          <cell r="I511">
            <v>8.8258156820267123E-4</v>
          </cell>
        </row>
        <row r="512">
          <cell r="A512" t="str">
            <v>SCOM-SHSTG</v>
          </cell>
          <cell r="B512" t="str">
            <v>VAR_fout</v>
          </cell>
          <cell r="C512" t="str">
            <v>SCOM-SHD</v>
          </cell>
          <cell r="D512">
            <v>2.6764866351801097E-6</v>
          </cell>
          <cell r="E512">
            <v>4.5735070789201989E-5</v>
          </cell>
          <cell r="F512">
            <v>1.4934176501523034E-5</v>
          </cell>
          <cell r="G512">
            <v>1.3508826956159801E-5</v>
          </cell>
          <cell r="H512">
            <v>1.3460757656913434E-4</v>
          </cell>
          <cell r="I512">
            <v>8.8258156820267123E-4</v>
          </cell>
        </row>
        <row r="513">
          <cell r="A513" t="str">
            <v>SCOM-SHSTG</v>
          </cell>
          <cell r="B513" t="str">
            <v>VAR_fin</v>
          </cell>
          <cell r="C513" t="str">
            <v>AUX_SCOM-SHSTG_IN</v>
          </cell>
          <cell r="D513">
            <v>3.4714067835704501E-6</v>
          </cell>
          <cell r="E513">
            <v>5.5943430658388368E-5</v>
          </cell>
          <cell r="F513">
            <v>1.8047645391667441E-5</v>
          </cell>
          <cell r="G513">
            <v>1.5813560668435686E-5</v>
          </cell>
          <cell r="H513">
            <v>1.45057836548625E-4</v>
          </cell>
          <cell r="I513">
            <v>8.9162104480895938E-4</v>
          </cell>
        </row>
        <row r="514">
          <cell r="A514" t="str">
            <v>SCOM-SHSTG</v>
          </cell>
          <cell r="B514" t="str">
            <v>VAR_fin</v>
          </cell>
          <cell r="C514" t="str">
            <v>SCOM-SHD</v>
          </cell>
          <cell r="D514">
            <v>3.4714067835704501E-6</v>
          </cell>
          <cell r="E514">
            <v>5.5943430658388368E-5</v>
          </cell>
          <cell r="F514">
            <v>1.8047645391667441E-5</v>
          </cell>
          <cell r="G514">
            <v>1.5813560668435686E-5</v>
          </cell>
          <cell r="H514">
            <v>1.45057836548625E-4</v>
          </cell>
          <cell r="I514">
            <v>8.9162104480895938E-4</v>
          </cell>
        </row>
        <row r="515">
          <cell r="A515" t="str">
            <v>SCOM-SHSTG</v>
          </cell>
          <cell r="B515" t="str">
            <v>VAR_ncap</v>
          </cell>
          <cell r="C515" t="str">
            <v>-</v>
          </cell>
          <cell r="D515">
            <v>2.4421049273133102E-4</v>
          </cell>
          <cell r="E515">
            <v>2.0430811265641802E-6</v>
          </cell>
          <cell r="F515">
            <v>1.9792680927378099E-6</v>
          </cell>
          <cell r="G515">
            <v>1.0746054330617499E-6</v>
          </cell>
          <cell r="H515">
            <v>1.52527868920906E-4</v>
          </cell>
          <cell r="I515">
            <v>1.26605571659043E-4</v>
          </cell>
        </row>
        <row r="516">
          <cell r="A516" t="str">
            <v>SCOM-SHSTG</v>
          </cell>
          <cell r="B516" t="str">
            <v>VAR_cap</v>
          </cell>
          <cell r="C516" t="str">
            <v>-</v>
          </cell>
          <cell r="D516">
            <v>2.4421049273133102E-4</v>
          </cell>
          <cell r="E516">
            <v>2.4578382798601982E-4</v>
          </cell>
          <cell r="F516">
            <v>2.4716326844558207E-4</v>
          </cell>
          <cell r="G516">
            <v>2.4755869017135577E-4</v>
          </cell>
          <cell r="H516">
            <v>2.9682935165091908E-4</v>
          </cell>
          <cell r="I516">
            <v>3.2393806464846308E-4</v>
          </cell>
        </row>
        <row r="517">
          <cell r="A517" t="str">
            <v>D-ITOT_KEV_HFC_ELC_CHP</v>
          </cell>
          <cell r="B517" t="str">
            <v>VAR_fout</v>
          </cell>
          <cell r="C517" t="str">
            <v>ITOT_ELC</v>
          </cell>
          <cell r="G517">
            <v>2.0470375944109135E-3</v>
          </cell>
          <cell r="H517">
            <v>1.3565848057105107E-2</v>
          </cell>
          <cell r="I517">
            <v>3.6219217243525038E-2</v>
          </cell>
        </row>
        <row r="518">
          <cell r="A518" t="str">
            <v>D-ITOT_KEV_HFC_ELC_CHP</v>
          </cell>
          <cell r="B518" t="str">
            <v>VAR_fout</v>
          </cell>
          <cell r="C518" t="str">
            <v>ELC5</v>
          </cell>
          <cell r="G518">
            <v>3.1924665520290563E-4</v>
          </cell>
          <cell r="H518">
            <v>3.2857979230337302E-3</v>
          </cell>
          <cell r="I518">
            <v>1.0757940881415733E-2</v>
          </cell>
        </row>
        <row r="519">
          <cell r="A519" t="str">
            <v>D-ITOT_KEV_HFC_ELC_CHP</v>
          </cell>
          <cell r="B519" t="str">
            <v>VAR_fin</v>
          </cell>
          <cell r="C519" t="str">
            <v>ITOT_KEV_HFC_ELC_CHP</v>
          </cell>
          <cell r="G519">
            <v>2.3624918468301702E-3</v>
          </cell>
          <cell r="H519">
            <v>1.6825901351121761E-2</v>
          </cell>
          <cell r="I519">
            <v>4.6964984478888368E-2</v>
          </cell>
        </row>
        <row r="520">
          <cell r="A520" t="str">
            <v>D-RNGA</v>
          </cell>
          <cell r="B520" t="str">
            <v>VAR_fout</v>
          </cell>
          <cell r="C520" t="str">
            <v>CO2</v>
          </cell>
          <cell r="D520">
            <v>2650.6777191362899</v>
          </cell>
          <cell r="E520">
            <v>2610.2149371499399</v>
          </cell>
          <cell r="F520">
            <v>2663.51849362954</v>
          </cell>
          <cell r="G520">
            <v>2528.01784469326</v>
          </cell>
          <cell r="H520">
            <v>2537.3725634397802</v>
          </cell>
          <cell r="I520">
            <v>1947.4709268366701</v>
          </cell>
        </row>
        <row r="521">
          <cell r="A521" t="str">
            <v>D-RNGA</v>
          </cell>
          <cell r="B521" t="str">
            <v>VAR_fout</v>
          </cell>
          <cell r="C521" t="str">
            <v>RNGA</v>
          </cell>
          <cell r="D521">
            <v>47.159755211375185</v>
          </cell>
          <cell r="E521">
            <v>48.28300234607434</v>
          </cell>
          <cell r="F521">
            <v>48.593334515585454</v>
          </cell>
          <cell r="G521">
            <v>44.681601157557658</v>
          </cell>
          <cell r="H521">
            <v>44.849420233515616</v>
          </cell>
          <cell r="I521">
            <v>34.483202853382167</v>
          </cell>
        </row>
        <row r="522">
          <cell r="A522" t="str">
            <v>D-RNGA</v>
          </cell>
          <cell r="B522" t="str">
            <v>VAR_fin</v>
          </cell>
          <cell r="C522" t="str">
            <v>NGA</v>
          </cell>
          <cell r="D522">
            <v>46.99783189957958</v>
          </cell>
          <cell r="E522">
            <v>46.28040668705566</v>
          </cell>
          <cell r="F522">
            <v>47.225505206197518</v>
          </cell>
          <cell r="G522">
            <v>44.82301143073159</v>
          </cell>
          <cell r="H522">
            <v>44.988875238293936</v>
          </cell>
          <cell r="I522">
            <v>34.529626362352396</v>
          </cell>
        </row>
        <row r="523">
          <cell r="A523" t="str">
            <v>D-RNGA</v>
          </cell>
          <cell r="B523" t="str">
            <v>VAR_fin</v>
          </cell>
          <cell r="C523" t="str">
            <v>BNGA</v>
          </cell>
          <cell r="D523">
            <v>0.31258078956209345</v>
          </cell>
          <cell r="E523">
            <v>2.1568414840838899</v>
          </cell>
          <cell r="F523">
            <v>1.4940617678424617</v>
          </cell>
          <cell r="G523">
            <v>1.0083413691474728E-3</v>
          </cell>
          <cell r="H523">
            <v>1.0340795891534212E-4</v>
          </cell>
          <cell r="I523">
            <v>3.9233455974476793E-5</v>
          </cell>
        </row>
        <row r="524">
          <cell r="A524" t="str">
            <v>D-RNGA</v>
          </cell>
          <cell r="B524" t="str">
            <v>VAR_fin</v>
          </cell>
          <cell r="C524" t="str">
            <v>H2</v>
          </cell>
          <cell r="F524">
            <v>2.9004759838238702E-2</v>
          </cell>
          <cell r="G524">
            <v>3.2210374079690268E-4</v>
          </cell>
          <cell r="H524">
            <v>3.718423653984546E-3</v>
          </cell>
          <cell r="I524">
            <v>6.3697972868315189E-2</v>
          </cell>
        </row>
        <row r="525">
          <cell r="A525" t="str">
            <v>D-RNGA</v>
          </cell>
          <cell r="B525" t="str">
            <v>VAR_ncap</v>
          </cell>
          <cell r="C525" t="str">
            <v>-</v>
          </cell>
          <cell r="D525">
            <v>1.16146838588279E-7</v>
          </cell>
          <cell r="E525">
            <v>5.0212860725440901E-8</v>
          </cell>
          <cell r="F525">
            <v>6.18404382749521E-8</v>
          </cell>
          <cell r="G525">
            <v>6.3904201557145902E-8</v>
          </cell>
          <cell r="H525">
            <v>2.01346575981521E-7</v>
          </cell>
          <cell r="I525">
            <v>0.27754451818130998</v>
          </cell>
        </row>
        <row r="526">
          <cell r="A526" t="str">
            <v>D-RNGA</v>
          </cell>
          <cell r="B526" t="str">
            <v>VAR_cap</v>
          </cell>
          <cell r="C526" t="str">
            <v>-</v>
          </cell>
          <cell r="D526">
            <v>3.0972401235427585</v>
          </cell>
          <cell r="E526">
            <v>3.0972401737556194</v>
          </cell>
          <cell r="F526">
            <v>3.0972402355960575</v>
          </cell>
          <cell r="G526">
            <v>3.097240299500259</v>
          </cell>
          <cell r="H526">
            <v>3.0972405978517306</v>
          </cell>
          <cell r="I526">
            <v>1.83082735667334</v>
          </cell>
        </row>
        <row r="527">
          <cell r="A527" t="str">
            <v>RHNS-SHLTHCHPNGA</v>
          </cell>
          <cell r="B527" t="str">
            <v>VAR_fout</v>
          </cell>
          <cell r="C527" t="str">
            <v>RHNS-SHLTHC-NGA</v>
          </cell>
          <cell r="E527">
            <v>8.6379359527380037E-4</v>
          </cell>
        </row>
        <row r="528">
          <cell r="A528" t="str">
            <v>RHNS-SHLTHCHPNGA</v>
          </cell>
          <cell r="B528" t="str">
            <v>VAR_fin</v>
          </cell>
          <cell r="C528" t="str">
            <v>RHNSLTHCHPC</v>
          </cell>
          <cell r="E528">
            <v>8.6379359527380037E-4</v>
          </cell>
        </row>
        <row r="529">
          <cell r="A529" t="str">
            <v>RHNS-SHLTHCHPNGA</v>
          </cell>
          <cell r="B529" t="str">
            <v>VAR_fin</v>
          </cell>
          <cell r="C529" t="str">
            <v>RHNS_LTH_CHPNGA_ON</v>
          </cell>
          <cell r="E529">
            <v>8.725187831048496E-4</v>
          </cell>
        </row>
        <row r="530">
          <cell r="A530" t="str">
            <v>RHNS-SHLTHCHPNGA</v>
          </cell>
          <cell r="B530" t="str">
            <v>VAR_ncap</v>
          </cell>
          <cell r="C530" t="str">
            <v>-</v>
          </cell>
          <cell r="E530">
            <v>8.8918154207645695E-5</v>
          </cell>
          <cell r="F530">
            <v>6.3036667184169996E-5</v>
          </cell>
          <cell r="G530">
            <v>6.0787059825626399E-5</v>
          </cell>
          <cell r="H530">
            <v>1.07050935279271E-4</v>
          </cell>
          <cell r="I530">
            <v>5.9686375237730601E-5</v>
          </cell>
        </row>
        <row r="531">
          <cell r="A531" t="str">
            <v>RHNS-SHLTHCHPNGA</v>
          </cell>
          <cell r="B531" t="str">
            <v>VAR_cap</v>
          </cell>
          <cell r="C531" t="str">
            <v>-</v>
          </cell>
          <cell r="E531">
            <v>8.8918154207645695E-5</v>
          </cell>
          <cell r="F531">
            <v>8.8191957579913783E-5</v>
          </cell>
          <cell r="G531">
            <v>1.0421403601584699E-4</v>
          </cell>
          <cell r="H531">
            <v>1.8013227988384099E-4</v>
          </cell>
          <cell r="I531">
            <v>9.8389457708441199E-5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ELC5</v>
          </cell>
          <cell r="D532">
            <v>0.95927263466232882</v>
          </cell>
          <cell r="E532">
            <v>1.1059145705732125</v>
          </cell>
          <cell r="F532">
            <v>1.1059065362088512</v>
          </cell>
          <cell r="G532">
            <v>1.1058350865769486</v>
          </cell>
          <cell r="H532">
            <v>0.55142314444570395</v>
          </cell>
          <cell r="I532">
            <v>0.55231012377520816</v>
          </cell>
        </row>
        <row r="533">
          <cell r="A533" t="str">
            <v>D-SCOM_KEV_BIO_ELC_CHP</v>
          </cell>
          <cell r="B533" t="str">
            <v>VAR_fout</v>
          </cell>
          <cell r="C533" t="str">
            <v>SCOM_ELC</v>
          </cell>
          <cell r="D533">
            <v>9.3004572894935978E-5</v>
          </cell>
          <cell r="E533">
            <v>3.5301998788231747E-5</v>
          </cell>
          <cell r="F533">
            <v>4.361055116432027E-5</v>
          </cell>
          <cell r="G533">
            <v>1.1572985084023934E-4</v>
          </cell>
          <cell r="H533">
            <v>0.55453734280350186</v>
          </cell>
          <cell r="I533">
            <v>0.5536487787103026</v>
          </cell>
        </row>
        <row r="534">
          <cell r="A534" t="str">
            <v>D-SCOM_KEV_BIO_ELC_CHP</v>
          </cell>
          <cell r="B534" t="str">
            <v>VAR_fin</v>
          </cell>
          <cell r="C534" t="str">
            <v>SCOM_KEV_BIO_ELC_CHP</v>
          </cell>
          <cell r="D534">
            <v>0.95936563923522378</v>
          </cell>
          <cell r="E534">
            <v>1.1059498725719994</v>
          </cell>
          <cell r="F534">
            <v>1.1059497955148845</v>
          </cell>
          <cell r="G534">
            <v>1.1059496703680625</v>
          </cell>
          <cell r="H534">
            <v>1.1059520457967755</v>
          </cell>
          <cell r="I534">
            <v>1.105950779116402</v>
          </cell>
        </row>
        <row r="535">
          <cell r="A535" t="str">
            <v>RHES-SHLTHCHPWOD</v>
          </cell>
          <cell r="B535" t="str">
            <v>VAR_ncap</v>
          </cell>
          <cell r="C535" t="str">
            <v>-</v>
          </cell>
          <cell r="G535">
            <v>3.45815875555065E-5</v>
          </cell>
          <cell r="H535">
            <v>2.37652897125485E-5</v>
          </cell>
          <cell r="I535">
            <v>1.24474650260302E-5</v>
          </cell>
        </row>
        <row r="536">
          <cell r="A536" t="str">
            <v>RHES-SHLTHCHPWOD</v>
          </cell>
          <cell r="B536" t="str">
            <v>VAR_cap</v>
          </cell>
          <cell r="C536" t="str">
            <v>-</v>
          </cell>
          <cell r="G536">
            <v>3.45815875555065E-5</v>
          </cell>
          <cell r="H536">
            <v>4.2478256389691605E-5</v>
          </cell>
          <cell r="I536">
            <v>2.1115438765575698E-5</v>
          </cell>
        </row>
        <row r="537">
          <cell r="A537" t="str">
            <v>RHES-SHSTG-NGAHP</v>
          </cell>
          <cell r="B537" t="str">
            <v>VAR_fout</v>
          </cell>
          <cell r="C537" t="str">
            <v>RHES-SHANGAH</v>
          </cell>
          <cell r="F537">
            <v>2.9260239544241624E-3</v>
          </cell>
          <cell r="G537">
            <v>1.6983450820251902E-3</v>
          </cell>
          <cell r="H537">
            <v>2.1468819371124009E-3</v>
          </cell>
          <cell r="I537">
            <v>0.19094069986117942</v>
          </cell>
        </row>
        <row r="538">
          <cell r="A538" t="str">
            <v>RHES-SHSTG-NGAHP</v>
          </cell>
          <cell r="B538" t="str">
            <v>VAR_fin</v>
          </cell>
          <cell r="C538" t="str">
            <v>RHES-SHANGAH</v>
          </cell>
          <cell r="F538">
            <v>2.9322198807739254E-3</v>
          </cell>
          <cell r="G538">
            <v>1.7045601462800006E-3</v>
          </cell>
          <cell r="H538">
            <v>2.1522223263666131E-3</v>
          </cell>
          <cell r="I538">
            <v>0.19094822994777283</v>
          </cell>
        </row>
        <row r="539">
          <cell r="A539" t="str">
            <v>RHES-SHSTG-NGAHP</v>
          </cell>
          <cell r="B539" t="str">
            <v>VAR_ncap</v>
          </cell>
          <cell r="C539" t="str">
            <v>-</v>
          </cell>
          <cell r="D539">
            <v>3.02874891373846E-6</v>
          </cell>
          <cell r="E539">
            <v>3.1034546751485899E-6</v>
          </cell>
          <cell r="F539">
            <v>2.9586364064246699E-2</v>
          </cell>
          <cell r="G539">
            <v>2.7937411360282299E-2</v>
          </cell>
          <cell r="H539">
            <v>4.5184835249901099E-2</v>
          </cell>
          <cell r="I539">
            <v>6.9120294163468099E-2</v>
          </cell>
        </row>
        <row r="540">
          <cell r="A540" t="str">
            <v>RHES-SHSTG-NGAHP</v>
          </cell>
          <cell r="B540" t="str">
            <v>VAR_cap</v>
          </cell>
          <cell r="C540" t="str">
            <v>-</v>
          </cell>
          <cell r="D540">
            <v>3.02874891373846E-6</v>
          </cell>
          <cell r="E540">
            <v>1.9146086898860065E-7</v>
          </cell>
          <cell r="F540">
            <v>2.9584988747722713E-2</v>
          </cell>
          <cell r="G540">
            <v>5.751959804961914E-2</v>
          </cell>
          <cell r="H540">
            <v>8.7768551789126195E-2</v>
          </cell>
          <cell r="I540">
            <v>0.1096326754795337</v>
          </cell>
        </row>
        <row r="541">
          <cell r="A541" t="str">
            <v>D-RHNS_SOLELC</v>
          </cell>
          <cell r="B541" t="str">
            <v>VAR_fout</v>
          </cell>
          <cell r="C541" t="str">
            <v>RHNS_ELC</v>
          </cell>
          <cell r="E541">
            <v>9.4541616717597314E-6</v>
          </cell>
          <cell r="F541">
            <v>9.67385022609212E-4</v>
          </cell>
          <cell r="G541">
            <v>1.1305934972522253E-3</v>
          </cell>
          <cell r="H541">
            <v>1.2506209119295068E-3</v>
          </cell>
          <cell r="I541">
            <v>1.3860017642975694E-3</v>
          </cell>
        </row>
        <row r="542">
          <cell r="A542" t="str">
            <v>D-RHNS_SOLELC</v>
          </cell>
          <cell r="B542" t="str">
            <v>VAR_fout</v>
          </cell>
          <cell r="C542" t="str">
            <v>ELC5</v>
          </cell>
          <cell r="E542">
            <v>9.4538895186749918E-6</v>
          </cell>
          <cell r="F542">
            <v>9.7959547888422285E-4</v>
          </cell>
          <cell r="G542">
            <v>1.1353948746114979E-3</v>
          </cell>
          <cell r="H542">
            <v>1.2562600643660968E-3</v>
          </cell>
          <cell r="I542">
            <v>1.3888365595028063E-3</v>
          </cell>
        </row>
        <row r="543">
          <cell r="A543" t="str">
            <v>D-RHNS_SOLELC</v>
          </cell>
          <cell r="B543" t="str">
            <v>VAR_fin</v>
          </cell>
          <cell r="C543" t="str">
            <v>RHNS_SOL_ELC</v>
          </cell>
          <cell r="E543">
            <v>1.8867127925874281E-5</v>
          </cell>
          <cell r="F543">
            <v>1.9469805014934326E-3</v>
          </cell>
          <cell r="G543">
            <v>2.2638463727475363E-3</v>
          </cell>
          <cell r="H543">
            <v>2.5026642844110758E-3</v>
          </cell>
          <cell r="I543">
            <v>2.7696350718464649E-3</v>
          </cell>
        </row>
        <row r="544">
          <cell r="A544" t="str">
            <v>D-IHFO</v>
          </cell>
          <cell r="B544" t="str">
            <v>VAR_fout</v>
          </cell>
          <cell r="C544" t="str">
            <v>CO2</v>
          </cell>
          <cell r="D544">
            <v>213.78046343474699</v>
          </cell>
          <cell r="E544">
            <v>1.75417521049731E-2</v>
          </cell>
          <cell r="F544">
            <v>5.1462617345054598E-2</v>
          </cell>
          <cell r="G544">
            <v>3.4340166553331497E-2</v>
          </cell>
          <cell r="H544">
            <v>2.7740259030027699E-2</v>
          </cell>
        </row>
        <row r="545">
          <cell r="A545" t="str">
            <v>D-IHFO</v>
          </cell>
          <cell r="B545" t="str">
            <v>VAR_fout</v>
          </cell>
          <cell r="C545" t="str">
            <v>IHFO</v>
          </cell>
          <cell r="D545">
            <v>2.7300010461898081</v>
          </cell>
          <cell r="E545">
            <v>2.2401018703561865E-4</v>
          </cell>
          <cell r="F545">
            <v>6.5718352806615665E-4</v>
          </cell>
          <cell r="G545">
            <v>4.3852786690932826E-4</v>
          </cell>
          <cell r="H545">
            <v>3.5424629059552828E-4</v>
          </cell>
        </row>
        <row r="546">
          <cell r="A546" t="str">
            <v>D-IHFO</v>
          </cell>
          <cell r="B546" t="str">
            <v>VAR_fin</v>
          </cell>
          <cell r="C546" t="str">
            <v>HFO</v>
          </cell>
          <cell r="D546">
            <v>2.7763696549967132</v>
          </cell>
          <cell r="E546">
            <v>2.278149624022481E-4</v>
          </cell>
          <cell r="F546">
            <v>6.6834567980590394E-4</v>
          </cell>
          <cell r="G546">
            <v>4.4597618900430505E-4</v>
          </cell>
          <cell r="H546">
            <v>3.6026310428607434E-4</v>
          </cell>
        </row>
        <row r="547">
          <cell r="A547" t="str">
            <v>RHEM-SHCONBR</v>
          </cell>
          <cell r="B547" t="str">
            <v>VAR_fout</v>
          </cell>
          <cell r="C547" t="str">
            <v>RHEM-SHCON</v>
          </cell>
          <cell r="F547">
            <v>6.8667641064792476E-5</v>
          </cell>
          <cell r="G547">
            <v>7.4722080521092649E-5</v>
          </cell>
          <cell r="H547">
            <v>1.0187092259604252E-4</v>
          </cell>
          <cell r="I547">
            <v>1.0819793121126105E-4</v>
          </cell>
        </row>
        <row r="548">
          <cell r="A548" t="str">
            <v>RHEM-SHCONBR</v>
          </cell>
          <cell r="B548" t="str">
            <v>VAR_fin</v>
          </cell>
          <cell r="C548" t="str">
            <v>CON</v>
          </cell>
          <cell r="F548">
            <v>6.8667641064792476E-5</v>
          </cell>
          <cell r="G548">
            <v>7.4722080521092649E-5</v>
          </cell>
          <cell r="H548">
            <v>1.0187092259604252E-4</v>
          </cell>
          <cell r="I548">
            <v>1.0819793121126105E-4</v>
          </cell>
        </row>
        <row r="549">
          <cell r="A549" t="str">
            <v>RHEM-SHCONBR</v>
          </cell>
          <cell r="B549" t="str">
            <v>VAR_ncap</v>
          </cell>
          <cell r="C549" t="str">
            <v>-</v>
          </cell>
          <cell r="E549">
            <v>1.5358411649377101E-8</v>
          </cell>
          <cell r="F549">
            <v>5.5237991935519498E-6</v>
          </cell>
          <cell r="G549">
            <v>8.6487693387519702E-8</v>
          </cell>
          <cell r="H549">
            <v>7.1234238318065693E-8</v>
          </cell>
          <cell r="I549">
            <v>6.5744168034970401E-8</v>
          </cell>
        </row>
        <row r="550">
          <cell r="A550" t="str">
            <v>RHEM-SHCONBR</v>
          </cell>
          <cell r="B550" t="str">
            <v>VAR_cap</v>
          </cell>
          <cell r="C550" t="str">
            <v>-</v>
          </cell>
          <cell r="E550">
            <v>-9.5460431841757902E-8</v>
          </cell>
          <cell r="F550">
            <v>5.5391576052013301E-6</v>
          </cell>
          <cell r="G550">
            <v>5.6256452985888503E-6</v>
          </cell>
          <cell r="H550">
            <v>7.8861986316346494E-6</v>
          </cell>
          <cell r="I550">
            <v>7.9519427996696202E-6</v>
          </cell>
        </row>
        <row r="551">
          <cell r="A551" t="str">
            <v>RHEM-SHSOLBR</v>
          </cell>
          <cell r="B551" t="str">
            <v>VAR_fout</v>
          </cell>
          <cell r="C551" t="str">
            <v>RHEM-SHASOL</v>
          </cell>
          <cell r="D551">
            <v>0.40801188515894221</v>
          </cell>
          <cell r="E551">
            <v>0.4708750356060688</v>
          </cell>
          <cell r="F551">
            <v>9.1578821473783968E-3</v>
          </cell>
          <cell r="G551">
            <v>1.1335526634615026E-2</v>
          </cell>
          <cell r="H551">
            <v>1.2937907844971007E-2</v>
          </cell>
          <cell r="I551">
            <v>1.3146511700985249E-2</v>
          </cell>
        </row>
        <row r="552">
          <cell r="A552" t="str">
            <v>RHEM-SHSOLBR</v>
          </cell>
          <cell r="B552" t="str">
            <v>VAR_fin</v>
          </cell>
          <cell r="C552" t="str">
            <v>SOL</v>
          </cell>
          <cell r="D552">
            <v>0.40801188515894221</v>
          </cell>
          <cell r="E552">
            <v>0.4708750356060688</v>
          </cell>
          <cell r="F552">
            <v>9.1578821473783968E-3</v>
          </cell>
          <cell r="G552">
            <v>1.1335526634615026E-2</v>
          </cell>
          <cell r="H552">
            <v>1.2937907844971007E-2</v>
          </cell>
          <cell r="I552">
            <v>1.3146511700985249E-2</v>
          </cell>
        </row>
        <row r="553">
          <cell r="A553" t="str">
            <v>RHEM-SHSOLBR</v>
          </cell>
          <cell r="B553" t="str">
            <v>VAR_ncap</v>
          </cell>
          <cell r="C553" t="str">
            <v>-</v>
          </cell>
          <cell r="D553">
            <v>4.5832682636557298E-5</v>
          </cell>
          <cell r="E553">
            <v>9.0877589442865496E-3</v>
          </cell>
          <cell r="F553">
            <v>6.0350302590777097E-8</v>
          </cell>
          <cell r="G553">
            <v>8.6031993580211402E-8</v>
          </cell>
          <cell r="H553">
            <v>1.90393496914932E-3</v>
          </cell>
          <cell r="I553">
            <v>5.4521406073667798E-4</v>
          </cell>
        </row>
        <row r="554">
          <cell r="A554" t="str">
            <v>RHEM-SHSOLBR</v>
          </cell>
          <cell r="B554" t="str">
            <v>VAR_cap</v>
          </cell>
          <cell r="C554" t="str">
            <v>-</v>
          </cell>
          <cell r="D554">
            <v>5.9300754099674856E-2</v>
          </cell>
          <cell r="E554">
            <v>6.8388489240494732E-2</v>
          </cell>
          <cell r="F554">
            <v>6.8388105119998127E-2</v>
          </cell>
          <cell r="G554">
            <v>6.8387997196572181E-2</v>
          </cell>
          <cell r="H554">
            <v>1.9042208210105569E-3</v>
          </cell>
          <cell r="I554">
            <v>1.9270381534302477E-3</v>
          </cell>
        </row>
        <row r="555">
          <cell r="A555" t="str">
            <v>SCOM-SHH2BR</v>
          </cell>
          <cell r="B555" t="str">
            <v>VAR_ncap</v>
          </cell>
          <cell r="C555" t="str">
            <v>-</v>
          </cell>
          <cell r="G555">
            <v>3.2617795059807202E-7</v>
          </cell>
          <cell r="H555">
            <v>8.0170817250796694E-2</v>
          </cell>
          <cell r="I555">
            <v>0.52323372721168804</v>
          </cell>
        </row>
        <row r="556">
          <cell r="A556" t="str">
            <v>SCOM-SHH2BR</v>
          </cell>
          <cell r="B556" t="str">
            <v>VAR_cap</v>
          </cell>
          <cell r="C556" t="str">
            <v>-</v>
          </cell>
          <cell r="G556">
            <v>3.2617795059807202E-7</v>
          </cell>
          <cell r="H556">
            <v>0.75377681531688723</v>
          </cell>
          <cell r="I556">
            <v>0.86634782662129861</v>
          </cell>
        </row>
        <row r="557">
          <cell r="A557" t="str">
            <v>ITOT-SWHCONBR1</v>
          </cell>
          <cell r="B557" t="str">
            <v>VAR_fout</v>
          </cell>
          <cell r="C557" t="str">
            <v>ITOT-ELS</v>
          </cell>
          <cell r="E557">
            <v>1.2763117029447532E-2</v>
          </cell>
          <cell r="F557">
            <v>1.2763292765525121E-2</v>
          </cell>
          <cell r="G557">
            <v>1.2763291729379764E-2</v>
          </cell>
          <cell r="H557">
            <v>1.4677236325830898E-2</v>
          </cell>
          <cell r="I557">
            <v>1.5249908492562806E-2</v>
          </cell>
        </row>
        <row r="558">
          <cell r="A558" t="str">
            <v>ITOT-SWHCONBR1</v>
          </cell>
          <cell r="B558" t="str">
            <v>VAR_fout</v>
          </cell>
          <cell r="C558" t="str">
            <v>ITOT-SWHC</v>
          </cell>
          <cell r="E558">
            <v>3.3489097055888433</v>
          </cell>
          <cell r="F558">
            <v>3.3489558169152946</v>
          </cell>
          <cell r="G558">
            <v>3.3489555450414885</v>
          </cell>
          <cell r="H558">
            <v>3.851154782126442</v>
          </cell>
          <cell r="I558">
            <v>4.0014180268231847</v>
          </cell>
        </row>
        <row r="559">
          <cell r="A559" t="str">
            <v>ITOT-SWHCONBR1</v>
          </cell>
          <cell r="B559" t="str">
            <v>VAR_fin</v>
          </cell>
          <cell r="C559" t="str">
            <v>CON</v>
          </cell>
          <cell r="E559">
            <v>3.3616728226182886</v>
          </cell>
          <cell r="F559">
            <v>3.3617191096808181</v>
          </cell>
          <cell r="G559">
            <v>3.3617188367708652</v>
          </cell>
          <cell r="H559">
            <v>3.8658320184522723</v>
          </cell>
          <cell r="I559">
            <v>4.0166679353157484</v>
          </cell>
        </row>
        <row r="560">
          <cell r="A560" t="str">
            <v>ITOT-SWHCONBR1</v>
          </cell>
          <cell r="B560" t="str">
            <v>VAR_ncap</v>
          </cell>
          <cell r="C560" t="str">
            <v>-</v>
          </cell>
          <cell r="E560">
            <v>0.18282060140636899</v>
          </cell>
          <cell r="F560">
            <v>1.4777733935060399E-6</v>
          </cell>
          <cell r="G560">
            <v>1.01038933026738E-7</v>
          </cell>
          <cell r="H560">
            <v>8.0489384642891806E-2</v>
          </cell>
          <cell r="I560">
            <v>0.105142528081048</v>
          </cell>
        </row>
        <row r="561">
          <cell r="A561" t="str">
            <v>ITOT-SWHCONBR1</v>
          </cell>
          <cell r="B561" t="str">
            <v>VAR_cap</v>
          </cell>
          <cell r="C561" t="str">
            <v>-</v>
          </cell>
          <cell r="E561">
            <v>0.18282060140636899</v>
          </cell>
          <cell r="F561">
            <v>0.18282207917976201</v>
          </cell>
          <cell r="G561">
            <v>0.18282218021869501</v>
          </cell>
          <cell r="H561">
            <v>0.210236211448772</v>
          </cell>
          <cell r="I561">
            <v>0.218438446692898</v>
          </cell>
        </row>
        <row r="562">
          <cell r="A562" t="str">
            <v>SCOM-SHLTHCHPWOD</v>
          </cell>
          <cell r="B562" t="str">
            <v>VAR_ncap</v>
          </cell>
          <cell r="C562" t="str">
            <v>-</v>
          </cell>
          <cell r="G562">
            <v>5.54919969958792E-5</v>
          </cell>
          <cell r="H562">
            <v>4.6406551230737802E-5</v>
          </cell>
          <cell r="I562">
            <v>1.7451606412945601E-5</v>
          </cell>
        </row>
        <row r="563">
          <cell r="A563" t="str">
            <v>SCOM-SHLTHCHPWOD</v>
          </cell>
          <cell r="B563" t="str">
            <v>VAR_cap</v>
          </cell>
          <cell r="C563" t="str">
            <v>-</v>
          </cell>
          <cell r="G563">
            <v>5.54919969958792E-5</v>
          </cell>
          <cell r="H563">
            <v>7.1118413407952503E-5</v>
          </cell>
          <cell r="I563">
            <v>3.0696706057396996E-5</v>
          </cell>
        </row>
        <row r="564">
          <cell r="A564" t="str">
            <v>SCOM-SHSTG-NGAHP</v>
          </cell>
          <cell r="B564" t="str">
            <v>VAR_fout</v>
          </cell>
          <cell r="C564" t="str">
            <v>SCOM-SHANGAH</v>
          </cell>
          <cell r="D564">
            <v>2.5096053925123141E-5</v>
          </cell>
          <cell r="E564">
            <v>2.5522501198295899E-5</v>
          </cell>
          <cell r="F564">
            <v>9.7508691360292141E-6</v>
          </cell>
          <cell r="G564">
            <v>7.7939165383289051E-6</v>
          </cell>
          <cell r="H564">
            <v>1.1808887833460987E-5</v>
          </cell>
        </row>
        <row r="565">
          <cell r="A565" t="str">
            <v>SCOM-SHSTG-NGAHP</v>
          </cell>
          <cell r="B565" t="str">
            <v>VAR_fin</v>
          </cell>
          <cell r="C565" t="str">
            <v>SCOM-SHANGAH</v>
          </cell>
          <cell r="D565">
            <v>2.5096053925123141E-5</v>
          </cell>
          <cell r="E565">
            <v>2.5522501198295899E-5</v>
          </cell>
          <cell r="F565">
            <v>1.2741609849456425E-5</v>
          </cell>
          <cell r="G565">
            <v>1.0428878793980486E-5</v>
          </cell>
          <cell r="H565">
            <v>1.9055839284010762E-5</v>
          </cell>
          <cell r="I565">
            <v>3.4443977208551138E-6</v>
          </cell>
        </row>
        <row r="566">
          <cell r="A566" t="str">
            <v>SCOM-SHSTG-NGAHP</v>
          </cell>
          <cell r="B566" t="str">
            <v>VAR_ncap</v>
          </cell>
          <cell r="C566" t="str">
            <v>-</v>
          </cell>
          <cell r="D566">
            <v>4.3286148360865398E-4</v>
          </cell>
          <cell r="E566">
            <v>3.4875630722737798E-6</v>
          </cell>
          <cell r="F566">
            <v>3.0051843068964901E-2</v>
          </cell>
          <cell r="G566">
            <v>2.9837545672551601E-2</v>
          </cell>
          <cell r="H566">
            <v>5.4607044304516503E-2</v>
          </cell>
          <cell r="I566">
            <v>0.10020030647240601</v>
          </cell>
        </row>
        <row r="567">
          <cell r="A567" t="str">
            <v>SCOM-SHSTG-NGAHP</v>
          </cell>
          <cell r="B567" t="str">
            <v>VAR_cap</v>
          </cell>
          <cell r="C567" t="str">
            <v>-</v>
          </cell>
          <cell r="D567">
            <v>4.3286148360865398E-4</v>
          </cell>
          <cell r="E567">
            <v>4.6737861665909885E-6</v>
          </cell>
          <cell r="F567">
            <v>3.0054183229825587E-2</v>
          </cell>
          <cell r="G567">
            <v>5.9886341970974949E-2</v>
          </cell>
          <cell r="H567">
            <v>0.10387425812993339</v>
          </cell>
          <cell r="I567">
            <v>0.14979115658738815</v>
          </cell>
        </row>
        <row r="568">
          <cell r="A568" t="str">
            <v>ITOT-SWHCONBR2</v>
          </cell>
          <cell r="B568" t="str">
            <v>VAR_fout</v>
          </cell>
          <cell r="C568" t="str">
            <v>ITOT-ELS</v>
          </cell>
          <cell r="E568">
            <v>0.48734657957425576</v>
          </cell>
          <cell r="F568">
            <v>0.4873366870056734</v>
          </cell>
          <cell r="G568">
            <v>0.48733968145855616</v>
          </cell>
          <cell r="H568">
            <v>0.48738123251221255</v>
          </cell>
          <cell r="I568">
            <v>0.48737627565681402</v>
          </cell>
        </row>
        <row r="569">
          <cell r="A569" t="str">
            <v>ITOT-SWHCONBR2</v>
          </cell>
          <cell r="B569" t="str">
            <v>VAR_fout</v>
          </cell>
          <cell r="C569" t="str">
            <v>ITOT-SWHC</v>
          </cell>
          <cell r="E569">
            <v>0.75334454784273164</v>
          </cell>
          <cell r="F569">
            <v>0.75332925582485832</v>
          </cell>
          <cell r="G569">
            <v>0.75333388467596207</v>
          </cell>
          <cell r="H569">
            <v>0.75339811465323248</v>
          </cell>
          <cell r="I569">
            <v>0.75339045230338808</v>
          </cell>
        </row>
        <row r="570">
          <cell r="A570" t="str">
            <v>ITOT-SWHCONBR2</v>
          </cell>
          <cell r="B570" t="str">
            <v>VAR_fin</v>
          </cell>
          <cell r="C570" t="str">
            <v>CON</v>
          </cell>
          <cell r="E570">
            <v>1.2406911274169867</v>
          </cell>
          <cell r="F570">
            <v>1.2406659428305307</v>
          </cell>
          <cell r="G570">
            <v>1.2406735661345181</v>
          </cell>
          <cell r="H570">
            <v>1.2407793471654445</v>
          </cell>
          <cell r="I570">
            <v>1.2407667279602028</v>
          </cell>
        </row>
        <row r="571">
          <cell r="A571" t="str">
            <v>ITOT-SWHCONBR2</v>
          </cell>
          <cell r="B571" t="str">
            <v>VAR_ncap</v>
          </cell>
          <cell r="C571" t="str">
            <v>-</v>
          </cell>
          <cell r="E571">
            <v>6.7473386362041907E-2</v>
          </cell>
          <cell r="F571">
            <v>4.1585335045496597E-8</v>
          </cell>
          <cell r="G571">
            <v>3.2907702811571202E-8</v>
          </cell>
          <cell r="H571">
            <v>6.7472252329245502E-2</v>
          </cell>
          <cell r="I571">
            <v>1.8506324209133101E-2</v>
          </cell>
        </row>
        <row r="572">
          <cell r="A572" t="str">
            <v>ITOT-SWHCONBR2</v>
          </cell>
          <cell r="B572" t="str">
            <v>VAR_cap</v>
          </cell>
          <cell r="C572" t="str">
            <v>-</v>
          </cell>
          <cell r="E572">
            <v>6.7473386362041907E-2</v>
          </cell>
          <cell r="F572">
            <v>6.7473427947376902E-2</v>
          </cell>
          <cell r="G572">
            <v>6.7473460855079798E-2</v>
          </cell>
          <cell r="H572">
            <v>6.7474433583388199E-2</v>
          </cell>
          <cell r="I572">
            <v>6.7474109692042997E-2</v>
          </cell>
        </row>
        <row r="573">
          <cell r="A573" t="str">
            <v>RHES-SHCONBR1</v>
          </cell>
          <cell r="B573" t="str">
            <v>VAR_fout</v>
          </cell>
          <cell r="C573" t="str">
            <v>RHES-SHCON</v>
          </cell>
          <cell r="D573">
            <v>1.2987617357394498E-2</v>
          </cell>
          <cell r="E573">
            <v>1.127643105974506</v>
          </cell>
          <cell r="F573">
            <v>0.68514344474709554</v>
          </cell>
          <cell r="G573">
            <v>1.4682995127941865</v>
          </cell>
          <cell r="H573">
            <v>4.1339825130322829</v>
          </cell>
          <cell r="I573">
            <v>6.4142076794213185</v>
          </cell>
        </row>
        <row r="574">
          <cell r="A574" t="str">
            <v>RHES-SHCONBR1</v>
          </cell>
          <cell r="B574" t="str">
            <v>VAR_fin</v>
          </cell>
          <cell r="C574" t="str">
            <v>CON</v>
          </cell>
          <cell r="D574">
            <v>1.2987617357394498E-2</v>
          </cell>
          <cell r="E574">
            <v>1.127643105974506</v>
          </cell>
          <cell r="F574">
            <v>0.68514344474709554</v>
          </cell>
          <cell r="G574">
            <v>1.4682995127941865</v>
          </cell>
          <cell r="H574">
            <v>4.1339825130322829</v>
          </cell>
          <cell r="I574">
            <v>6.4142076794213185</v>
          </cell>
        </row>
        <row r="575">
          <cell r="A575" t="str">
            <v>RHES-SHCONBR1</v>
          </cell>
          <cell r="B575" t="str">
            <v>VAR_ncap</v>
          </cell>
          <cell r="C575" t="str">
            <v>-</v>
          </cell>
          <cell r="D575">
            <v>4.5549552234862498E-2</v>
          </cell>
          <cell r="E575">
            <v>4.5549551567296502E-2</v>
          </cell>
          <cell r="F575">
            <v>7.6935124917911202E-8</v>
          </cell>
          <cell r="G575">
            <v>2.7524973137373301E-2</v>
          </cell>
          <cell r="H575">
            <v>8.0612206801618E-2</v>
          </cell>
          <cell r="I575">
            <v>0.22613491865548499</v>
          </cell>
        </row>
        <row r="576">
          <cell r="A576" t="str">
            <v>RHES-SHCONBR1</v>
          </cell>
          <cell r="B576" t="str">
            <v>VAR_cap</v>
          </cell>
          <cell r="C576" t="str">
            <v>-</v>
          </cell>
          <cell r="D576">
            <v>4.5549552234862498E-2</v>
          </cell>
          <cell r="E576">
            <v>9.1099103802158896E-2</v>
          </cell>
          <cell r="F576">
            <v>9.1098967236254921E-2</v>
          </cell>
          <cell r="G576">
            <v>0.1186241036344107</v>
          </cell>
          <cell r="H576">
            <v>0.33398087237477148</v>
          </cell>
          <cell r="I576">
            <v>0.51819229752440055</v>
          </cell>
        </row>
        <row r="577">
          <cell r="A577" t="str">
            <v>ITOT-SWHCONBR3</v>
          </cell>
          <cell r="B577" t="str">
            <v>VAR_fout</v>
          </cell>
          <cell r="C577" t="str">
            <v>ITOT-ELS</v>
          </cell>
          <cell r="E577">
            <v>3.9638821227270605E-3</v>
          </cell>
          <cell r="F577">
            <v>3.9635099168698245E-3</v>
          </cell>
          <cell r="G577">
            <v>3.9654821390273202E-3</v>
          </cell>
          <cell r="H577">
            <v>3.1187548411300969E-4</v>
          </cell>
          <cell r="I577">
            <v>2.3395828083480627E-4</v>
          </cell>
        </row>
        <row r="578">
          <cell r="A578" t="str">
            <v>ITOT-SWHCONBR3</v>
          </cell>
          <cell r="B578" t="str">
            <v>VAR_fout</v>
          </cell>
          <cell r="C578" t="str">
            <v>ITOT-SWHC</v>
          </cell>
          <cell r="E578">
            <v>7.8665489300783781E-3</v>
          </cell>
          <cell r="F578">
            <v>7.865810266440728E-3</v>
          </cell>
          <cell r="G578">
            <v>7.8697242531897277E-3</v>
          </cell>
          <cell r="H578">
            <v>6.189345898558158E-4</v>
          </cell>
          <cell r="I578">
            <v>4.6430347997277046E-4</v>
          </cell>
        </row>
        <row r="579">
          <cell r="A579" t="str">
            <v>ITOT-SWHCONBR3</v>
          </cell>
          <cell r="B579" t="str">
            <v>VAR_fin</v>
          </cell>
          <cell r="C579" t="str">
            <v>CON</v>
          </cell>
          <cell r="E579">
            <v>1.1830431052805443E-2</v>
          </cell>
          <cell r="F579">
            <v>1.1829320183310569E-2</v>
          </cell>
          <cell r="G579">
            <v>1.1835206392217058E-2</v>
          </cell>
          <cell r="H579">
            <v>9.3081007396882565E-4</v>
          </cell>
          <cell r="I579">
            <v>6.9826176080757659E-4</v>
          </cell>
        </row>
        <row r="580">
          <cell r="A580" t="str">
            <v>ITOT-SWHCONBR3</v>
          </cell>
          <cell r="B580" t="str">
            <v>VAR_ncap</v>
          </cell>
          <cell r="C580" t="str">
            <v>-</v>
          </cell>
          <cell r="E580">
            <v>6.4322475266447401E-4</v>
          </cell>
          <cell r="F580">
            <v>4.9280313985804399E-8</v>
          </cell>
          <cell r="G580">
            <v>4.2549556001141501E-8</v>
          </cell>
          <cell r="H580">
            <v>4.6273066141383503E-5</v>
          </cell>
          <cell r="I580">
            <v>1.5216690853002901E-6</v>
          </cell>
        </row>
        <row r="581">
          <cell r="A581" t="str">
            <v>ITOT-SWHCONBR3</v>
          </cell>
          <cell r="B581" t="str">
            <v>VAR_cap</v>
          </cell>
          <cell r="C581" t="str">
            <v>-</v>
          </cell>
          <cell r="E581">
            <v>6.4322475266447401E-4</v>
          </cell>
          <cell r="F581">
            <v>6.4327403297846002E-4</v>
          </cell>
          <cell r="G581">
            <v>6.43316582534461E-4</v>
          </cell>
          <cell r="H581">
            <v>4.7130868636427501E-5</v>
          </cell>
          <cell r="I581">
            <v>3.5450445594838203E-5</v>
          </cell>
        </row>
        <row r="582">
          <cell r="A582" t="str">
            <v>ITOT-ELCSPECADV</v>
          </cell>
          <cell r="B582" t="str">
            <v>VAR_fout</v>
          </cell>
          <cell r="C582" t="str">
            <v>ITOT-ELS</v>
          </cell>
          <cell r="G582">
            <v>2.9701220442198068E-4</v>
          </cell>
          <cell r="H582">
            <v>8.000880182975614E-4</v>
          </cell>
          <cell r="I582">
            <v>0.47372063836277917</v>
          </cell>
        </row>
        <row r="583">
          <cell r="A583" t="str">
            <v>ITOT-ELCSPECADV</v>
          </cell>
          <cell r="B583" t="str">
            <v>VAR_fin</v>
          </cell>
          <cell r="C583" t="str">
            <v>ITOT_ELC</v>
          </cell>
          <cell r="G583">
            <v>2.5573633823198702E-4</v>
          </cell>
          <cell r="H583">
            <v>6.553831877516565E-4</v>
          </cell>
          <cell r="I583">
            <v>0.34780018682792785</v>
          </cell>
        </row>
        <row r="584">
          <cell r="A584" t="str">
            <v>ITOT-ELCSPECADV</v>
          </cell>
          <cell r="B584" t="str">
            <v>VAR_ncap</v>
          </cell>
          <cell r="C584" t="str">
            <v>-</v>
          </cell>
          <cell r="G584">
            <v>1.76792955162668E-5</v>
          </cell>
          <cell r="H584">
            <v>7.3599861668959803E-6</v>
          </cell>
          <cell r="I584">
            <v>2.5724573770918E-2</v>
          </cell>
        </row>
        <row r="585">
          <cell r="A585" t="str">
            <v>ITOT-ELCSPECADV</v>
          </cell>
          <cell r="B585" t="str">
            <v>VAR_cap</v>
          </cell>
          <cell r="C585" t="str">
            <v>-</v>
          </cell>
          <cell r="G585">
            <v>1.76792955162668E-5</v>
          </cell>
          <cell r="H585">
            <v>4.0433594404733432E-5</v>
          </cell>
          <cell r="I585">
            <v>2.5758841480095798E-2</v>
          </cell>
        </row>
        <row r="586">
          <cell r="A586" t="str">
            <v>RHES-SHELCBR</v>
          </cell>
          <cell r="B586" t="str">
            <v>VAR_fout</v>
          </cell>
          <cell r="C586" t="str">
            <v>RHES-SHAELCB</v>
          </cell>
          <cell r="D586">
            <v>4.2799795995423473</v>
          </cell>
          <cell r="E586">
            <v>4.4886780804863511</v>
          </cell>
          <cell r="F586">
            <v>0.78641316402805361</v>
          </cell>
          <cell r="G586">
            <v>0.19151299279964615</v>
          </cell>
          <cell r="H586">
            <v>3.836120964469108E-3</v>
          </cell>
          <cell r="I586">
            <v>1.8878210924565416E-3</v>
          </cell>
        </row>
        <row r="587">
          <cell r="A587" t="str">
            <v>RHES-SHELCBR</v>
          </cell>
          <cell r="B587" t="str">
            <v>VAR_fin</v>
          </cell>
          <cell r="C587" t="str">
            <v>RHES_ELC</v>
          </cell>
          <cell r="D587">
            <v>4.5052416837287881</v>
          </cell>
          <cell r="E587">
            <v>4.7249242952487878</v>
          </cell>
          <cell r="F587">
            <v>0.85712177742059936</v>
          </cell>
          <cell r="G587">
            <v>0.20809011300534877</v>
          </cell>
          <cell r="H587">
            <v>4.0847949448517508E-3</v>
          </cell>
          <cell r="I587">
            <v>2.0004727524505096E-3</v>
          </cell>
        </row>
        <row r="588">
          <cell r="A588" t="str">
            <v>RHES-SHELCBR</v>
          </cell>
          <cell r="B588" t="str">
            <v>VAR_ncap</v>
          </cell>
          <cell r="C588" t="str">
            <v>-</v>
          </cell>
          <cell r="D588">
            <v>8.0710960727798794E-8</v>
          </cell>
          <cell r="E588">
            <v>1.6869106103327799E-2</v>
          </cell>
          <cell r="F588">
            <v>4.6917116675532102E-8</v>
          </cell>
          <cell r="G588">
            <v>9.6373486492257302E-8</v>
          </cell>
          <cell r="H588">
            <v>3.2888731939711302E-4</v>
          </cell>
          <cell r="I588">
            <v>7.6062834515541896E-8</v>
          </cell>
        </row>
        <row r="589">
          <cell r="A589" t="str">
            <v>RHES-SHELCBR</v>
          </cell>
          <cell r="B589" t="str">
            <v>VAR_cap</v>
          </cell>
          <cell r="C589" t="str">
            <v>-</v>
          </cell>
          <cell r="D589">
            <v>0.34576938058729373</v>
          </cell>
          <cell r="E589">
            <v>0.36263845046121601</v>
          </cell>
          <cell r="F589">
            <v>0.1092948859266592</v>
          </cell>
          <cell r="G589">
            <v>2.6756349587714723E-2</v>
          </cell>
          <cell r="H589">
            <v>3.2975454096401558E-4</v>
          </cell>
          <cell r="I589">
            <v>2.3714755042489932E-4</v>
          </cell>
        </row>
        <row r="590">
          <cell r="A590" t="str">
            <v>RHSA-WHELCBR</v>
          </cell>
          <cell r="B590" t="str">
            <v>VAR_fout</v>
          </cell>
          <cell r="C590" t="str">
            <v>RHSA-WHAELCB</v>
          </cell>
          <cell r="D590">
            <v>6.6446996072381665</v>
          </cell>
          <cell r="E590">
            <v>6.9687088093481258</v>
          </cell>
          <cell r="F590">
            <v>2.8215203551535608</v>
          </cell>
          <cell r="G590">
            <v>2.2280586192841012</v>
          </cell>
          <cell r="H590">
            <v>1.8867724194144577</v>
          </cell>
          <cell r="I590">
            <v>1.6958362674659286</v>
          </cell>
        </row>
        <row r="591">
          <cell r="A591" t="str">
            <v>RHSA-WHELCBR</v>
          </cell>
          <cell r="B591" t="str">
            <v>VAR_fin</v>
          </cell>
          <cell r="C591" t="str">
            <v>RHSA_ELC</v>
          </cell>
          <cell r="D591">
            <v>8.4110121610609667</v>
          </cell>
          <cell r="E591">
            <v>8.7988747592779308</v>
          </cell>
          <cell r="F591">
            <v>6.058010102783264</v>
          </cell>
          <cell r="G591">
            <v>4.6222806971413952</v>
          </cell>
          <cell r="H591">
            <v>3.7543189979016511</v>
          </cell>
          <cell r="I591">
            <v>3.2831462101276663</v>
          </cell>
        </row>
        <row r="592">
          <cell r="A592" t="str">
            <v>RHSA-WHELCBR</v>
          </cell>
          <cell r="B592" t="str">
            <v>VAR_ncap</v>
          </cell>
          <cell r="C592" t="str">
            <v>-</v>
          </cell>
          <cell r="D592">
            <v>2.4030996096295802E-6</v>
          </cell>
          <cell r="E592">
            <v>3.4221684693803003E-2</v>
          </cell>
          <cell r="F592">
            <v>1.03888136418106E-7</v>
          </cell>
          <cell r="G592">
            <v>1.91899384370745E-7</v>
          </cell>
          <cell r="H592">
            <v>0.108276494018615</v>
          </cell>
          <cell r="I592">
            <v>2.71000822958249E-2</v>
          </cell>
        </row>
        <row r="593">
          <cell r="A593" t="str">
            <v>RHSA-WHELCBR</v>
          </cell>
          <cell r="B593" t="str">
            <v>VAR_cap</v>
          </cell>
          <cell r="C593" t="str">
            <v>-</v>
          </cell>
          <cell r="D593">
            <v>0.43757099187328663</v>
          </cell>
          <cell r="E593">
            <v>0.47179258901779242</v>
          </cell>
          <cell r="F593">
            <v>0.32948221795396809</v>
          </cell>
          <cell r="G593">
            <v>0.27037552395541636</v>
          </cell>
          <cell r="H593">
            <v>0.17930993100442691</v>
          </cell>
          <cell r="I593">
            <v>0.13572654267624046</v>
          </cell>
        </row>
        <row r="594">
          <cell r="A594" t="str">
            <v>ITOT-SWHLTHDH</v>
          </cell>
          <cell r="B594" t="str">
            <v>VAR_fout</v>
          </cell>
          <cell r="C594" t="str">
            <v>ITOT-SWH</v>
          </cell>
          <cell r="D594">
            <v>6.5822768093803887</v>
          </cell>
          <cell r="E594">
            <v>7.0678509674971011</v>
          </cell>
          <cell r="F594">
            <v>6.8468598550765423</v>
          </cell>
          <cell r="G594">
            <v>7.8608192698389523</v>
          </cell>
          <cell r="H594">
            <v>9.6312831558127403</v>
          </cell>
          <cell r="I594">
            <v>11.411745129047222</v>
          </cell>
        </row>
        <row r="595">
          <cell r="A595" t="str">
            <v>ITOT-SWHLTHDH</v>
          </cell>
          <cell r="B595" t="str">
            <v>VAR_fin</v>
          </cell>
          <cell r="C595" t="str">
            <v>ITOT_LTH_DH</v>
          </cell>
          <cell r="D595">
            <v>7.1200062969018081</v>
          </cell>
          <cell r="E595">
            <v>7.6289086471411247</v>
          </cell>
          <cell r="F595">
            <v>7.3667575989288867</v>
          </cell>
          <cell r="G595">
            <v>8.412900997020218</v>
          </cell>
          <cell r="H595">
            <v>10.199634535212882</v>
          </cell>
          <cell r="I595">
            <v>12.012363293733905</v>
          </cell>
        </row>
        <row r="596">
          <cell r="A596" t="str">
            <v>ITOT-SWHLTHDH</v>
          </cell>
          <cell r="B596" t="str">
            <v>VAR_fin</v>
          </cell>
          <cell r="C596" t="str">
            <v>ITOTLTHDHC</v>
          </cell>
          <cell r="D596">
            <v>6.5822768093803887</v>
          </cell>
          <cell r="E596">
            <v>7.0678509674971011</v>
          </cell>
          <cell r="F596">
            <v>6.8468598550765423</v>
          </cell>
          <cell r="G596">
            <v>7.8608192698389523</v>
          </cell>
          <cell r="H596">
            <v>9.6312831558127403</v>
          </cell>
          <cell r="I596">
            <v>11.411745129047222</v>
          </cell>
        </row>
        <row r="597">
          <cell r="A597" t="str">
            <v>ITOT-SWHLTHDH</v>
          </cell>
          <cell r="B597" t="str">
            <v>VAR_ncap</v>
          </cell>
          <cell r="C597" t="str">
            <v>-</v>
          </cell>
          <cell r="E597">
            <v>1.6748923830999199E-2</v>
          </cell>
          <cell r="F597">
            <v>5.4947046078541999E-2</v>
          </cell>
          <cell r="G597">
            <v>0.125171860455175</v>
          </cell>
          <cell r="H597">
            <v>0.22475099162189699</v>
          </cell>
          <cell r="I597">
            <v>0.43637002753355902</v>
          </cell>
        </row>
        <row r="598">
          <cell r="A598" t="str">
            <v>ITOT-SWHLTHDH</v>
          </cell>
          <cell r="B598" t="str">
            <v>VAR_cap</v>
          </cell>
          <cell r="C598" t="str">
            <v>-</v>
          </cell>
          <cell r="D598">
            <v>0.79547229253225304</v>
          </cell>
          <cell r="E598">
            <v>0.62037821821473127</v>
          </cell>
          <cell r="F598">
            <v>0.6574023437431582</v>
          </cell>
          <cell r="G598">
            <v>0.76718078947585999</v>
          </cell>
          <cell r="H598">
            <v>0.79045006079104252</v>
          </cell>
          <cell r="I598">
            <v>0.79546221870035005</v>
          </cell>
        </row>
        <row r="599">
          <cell r="A599" t="str">
            <v>RHES-SHCONBR2</v>
          </cell>
          <cell r="B599" t="str">
            <v>VAR_fout</v>
          </cell>
          <cell r="C599" t="str">
            <v>RHES-SHCON</v>
          </cell>
          <cell r="D599">
            <v>1.1344356965163458E-2</v>
          </cell>
          <cell r="E599">
            <v>0.82066278678353577</v>
          </cell>
          <cell r="F599">
            <v>0.4811465342855159</v>
          </cell>
          <cell r="G599">
            <v>0.82063282759785194</v>
          </cell>
          <cell r="H599">
            <v>1.6546988919716381</v>
          </cell>
          <cell r="I599">
            <v>3.4036464390413999</v>
          </cell>
        </row>
        <row r="600">
          <cell r="A600" t="str">
            <v>RHES-SHCONBR2</v>
          </cell>
          <cell r="B600" t="str">
            <v>VAR_fin</v>
          </cell>
          <cell r="C600" t="str">
            <v>CON</v>
          </cell>
          <cell r="D600">
            <v>1.1344356965163458E-2</v>
          </cell>
          <cell r="E600">
            <v>0.82066278678353577</v>
          </cell>
          <cell r="F600">
            <v>0.4811465342855159</v>
          </cell>
          <cell r="G600">
            <v>0.82063282759785194</v>
          </cell>
          <cell r="H600">
            <v>1.6546988919716381</v>
          </cell>
          <cell r="I600">
            <v>3.4036464390413999</v>
          </cell>
        </row>
        <row r="601">
          <cell r="A601" t="str">
            <v>RHES-SHCONBR2</v>
          </cell>
          <cell r="B601" t="str">
            <v>VAR_ncap</v>
          </cell>
          <cell r="C601" t="str">
            <v>-</v>
          </cell>
          <cell r="D601">
            <v>3.3149428960838098E-2</v>
          </cell>
          <cell r="E601">
            <v>3.3149428419367397E-2</v>
          </cell>
          <cell r="F601">
            <v>7.2026539967087396E-8</v>
          </cell>
          <cell r="G601">
            <v>1.63658674456537E-6</v>
          </cell>
          <cell r="H601">
            <v>5.7583170028939402E-2</v>
          </cell>
          <cell r="I601">
            <v>0.17180116793633601</v>
          </cell>
        </row>
        <row r="602">
          <cell r="A602" t="str">
            <v>RHES-SHCONBR2</v>
          </cell>
          <cell r="B602" t="str">
            <v>VAR_cap</v>
          </cell>
          <cell r="C602" t="str">
            <v>-</v>
          </cell>
          <cell r="D602">
            <v>3.3149428960838098E-2</v>
          </cell>
          <cell r="E602">
            <v>6.6298857380205495E-2</v>
          </cell>
          <cell r="F602">
            <v>6.6298717688362444E-2</v>
          </cell>
          <cell r="G602">
            <v>6.6300516579480911E-2</v>
          </cell>
          <cell r="H602">
            <v>0.13368513402023638</v>
          </cell>
          <cell r="I602">
            <v>0.27497580644001479</v>
          </cell>
        </row>
        <row r="603">
          <cell r="A603" t="str">
            <v>ITOT-SWHCONBR4</v>
          </cell>
          <cell r="B603" t="str">
            <v>VAR_fout</v>
          </cell>
          <cell r="C603" t="str">
            <v>ITOT-ELS</v>
          </cell>
          <cell r="E603">
            <v>8.6400032518882104E-5</v>
          </cell>
          <cell r="F603">
            <v>8.6521189300164012E-5</v>
          </cell>
          <cell r="G603">
            <v>8.6307300138981145E-5</v>
          </cell>
          <cell r="H603">
            <v>6.9943014376556292E-5</v>
          </cell>
          <cell r="I603">
            <v>4.379021576872522E-5</v>
          </cell>
        </row>
        <row r="604">
          <cell r="A604" t="str">
            <v>ITOT-SWHCONBR4</v>
          </cell>
          <cell r="B604" t="str">
            <v>VAR_fout</v>
          </cell>
          <cell r="C604" t="str">
            <v>ITOT-SWHC</v>
          </cell>
          <cell r="E604">
            <v>9.2850127018490926E-4</v>
          </cell>
          <cell r="F604">
            <v>9.2980328619152663E-4</v>
          </cell>
          <cell r="G604">
            <v>9.2750471810020419E-4</v>
          </cell>
          <cell r="H604">
            <v>7.5164529220520036E-4</v>
          </cell>
          <cell r="I604">
            <v>4.7059323680285494E-4</v>
          </cell>
        </row>
        <row r="605">
          <cell r="A605" t="str">
            <v>ITOT-SWHCONBR4</v>
          </cell>
          <cell r="B605" t="str">
            <v>VAR_fin</v>
          </cell>
          <cell r="C605" t="str">
            <v>CON</v>
          </cell>
          <cell r="E605">
            <v>1.0149013027037908E-3</v>
          </cell>
          <cell r="F605">
            <v>1.0163244754916902E-3</v>
          </cell>
          <cell r="G605">
            <v>1.0138120182391845E-3</v>
          </cell>
          <cell r="H605">
            <v>8.2158830658175667E-4</v>
          </cell>
          <cell r="I605">
            <v>5.1438345257157981E-4</v>
          </cell>
        </row>
        <row r="606">
          <cell r="A606" t="str">
            <v>ITOT-SWHCONBR4</v>
          </cell>
          <cell r="B606" t="str">
            <v>VAR_ncap</v>
          </cell>
          <cell r="C606" t="str">
            <v>-</v>
          </cell>
          <cell r="E606">
            <v>5.4662971050084701E-5</v>
          </cell>
          <cell r="F606">
            <v>1.0903788595147801E-7</v>
          </cell>
          <cell r="G606">
            <v>6.5337657748029406E-8</v>
          </cell>
          <cell r="H606">
            <v>2.3408736608119E-5</v>
          </cell>
          <cell r="I606">
            <v>1.9834957883016599E-6</v>
          </cell>
        </row>
        <row r="607">
          <cell r="A607" t="str">
            <v>ITOT-SWHCONBR4</v>
          </cell>
          <cell r="B607" t="str">
            <v>VAR_cap</v>
          </cell>
          <cell r="C607" t="str">
            <v>-</v>
          </cell>
          <cell r="E607">
            <v>5.4662971050084701E-5</v>
          </cell>
          <cell r="F607">
            <v>5.47720089360362E-5</v>
          </cell>
          <cell r="G607">
            <v>5.4837346593784201E-5</v>
          </cell>
          <cell r="H607">
            <v>4.4265635523336299E-5</v>
          </cell>
          <cell r="I607">
            <v>2.7767312065098599E-5</v>
          </cell>
        </row>
        <row r="608">
          <cell r="A608" t="str">
            <v>D-ITOT_NKEV_GAS_ELC_CHP</v>
          </cell>
          <cell r="B608" t="str">
            <v>VAR_fout</v>
          </cell>
          <cell r="C608" t="str">
            <v>ITOT_ELC</v>
          </cell>
          <cell r="D608">
            <v>0.66844764851481542</v>
          </cell>
          <cell r="E608">
            <v>9.0690613532461412E-2</v>
          </cell>
          <cell r="F608">
            <v>5.7651815568168986E-2</v>
          </cell>
          <cell r="G608">
            <v>0.31685249183987235</v>
          </cell>
          <cell r="H608">
            <v>5.1987008617707109E-2</v>
          </cell>
          <cell r="I608">
            <v>1.4833419970831607E-2</v>
          </cell>
        </row>
        <row r="609">
          <cell r="A609" t="str">
            <v>D-ITOT_NKEV_GAS_ELC_CHP</v>
          </cell>
          <cell r="B609" t="str">
            <v>VAR_fout</v>
          </cell>
          <cell r="C609" t="str">
            <v>ELC5</v>
          </cell>
          <cell r="D609">
            <v>1.5164532452222775E-3</v>
          </cell>
          <cell r="E609">
            <v>8.8115987592860348E-4</v>
          </cell>
          <cell r="F609">
            <v>6.2340097644394672E-4</v>
          </cell>
          <cell r="G609">
            <v>4.005838380087443E-4</v>
          </cell>
          <cell r="H609">
            <v>1.6186870757593989E-3</v>
          </cell>
          <cell r="I609">
            <v>9.0957740224188017E-4</v>
          </cell>
        </row>
        <row r="610">
          <cell r="A610" t="str">
            <v>D-ITOT_NKEV_GAS_ELC_CHP</v>
          </cell>
          <cell r="B610" t="str">
            <v>VAR_fin</v>
          </cell>
          <cell r="C610" t="str">
            <v>ITOT_NKEV_GAS_ELC_CHP</v>
          </cell>
          <cell r="D610">
            <v>0.66996410176003762</v>
          </cell>
          <cell r="E610">
            <v>9.1571773408390011E-2</v>
          </cell>
          <cell r="F610">
            <v>5.8274262397919815E-2</v>
          </cell>
          <cell r="G610">
            <v>0.31725307567788114</v>
          </cell>
          <cell r="H610">
            <v>5.3605695693466474E-2</v>
          </cell>
          <cell r="I610">
            <v>1.5742997373073487E-2</v>
          </cell>
        </row>
        <row r="611">
          <cell r="A611" t="str">
            <v>SCOM-SHELCBR</v>
          </cell>
          <cell r="B611" t="str">
            <v>VAR_fout</v>
          </cell>
          <cell r="C611" t="str">
            <v>SCOM-SHAELCB</v>
          </cell>
          <cell r="D611">
            <v>2.3940379313810793</v>
          </cell>
          <cell r="E611">
            <v>0.19410472471884385</v>
          </cell>
          <cell r="F611">
            <v>0.52189945983170993</v>
          </cell>
          <cell r="G611">
            <v>0.35413498619481482</v>
          </cell>
          <cell r="H611">
            <v>0.26264153284103542</v>
          </cell>
          <cell r="I611">
            <v>0.19376869527737536</v>
          </cell>
        </row>
        <row r="612">
          <cell r="A612" t="str">
            <v>SCOM-SHELCBR</v>
          </cell>
          <cell r="B612" t="str">
            <v>VAR_fin</v>
          </cell>
          <cell r="C612" t="str">
            <v>SCOM_ELC</v>
          </cell>
          <cell r="D612">
            <v>2.6236032124724176</v>
          </cell>
          <cell r="E612">
            <v>0.21213631116813556</v>
          </cell>
          <cell r="F612">
            <v>1.1044352339975319</v>
          </cell>
          <cell r="G612">
            <v>0.72953706779574079</v>
          </cell>
          <cell r="H612">
            <v>0.5227017562177203</v>
          </cell>
          <cell r="I612">
            <v>0.36906507402153194</v>
          </cell>
        </row>
        <row r="613">
          <cell r="A613" t="str">
            <v>SCOM-SHELCBR</v>
          </cell>
          <cell r="B613" t="str">
            <v>VAR_ncap</v>
          </cell>
          <cell r="C613" t="str">
            <v>-</v>
          </cell>
          <cell r="D613">
            <v>4.6474256942678599E-7</v>
          </cell>
          <cell r="E613">
            <v>4.9292448259745601E-7</v>
          </cell>
          <cell r="F613">
            <v>7.4627384241279697E-3</v>
          </cell>
          <cell r="G613">
            <v>9.9313037056026096E-7</v>
          </cell>
          <cell r="H613">
            <v>2.34634646417093E-2</v>
          </cell>
          <cell r="I613">
            <v>5.9135788896240799E-6</v>
          </cell>
        </row>
        <row r="614">
          <cell r="A614" t="str">
            <v>SCOM-SHELCBR</v>
          </cell>
          <cell r="B614" t="str">
            <v>VAR_cap</v>
          </cell>
          <cell r="C614" t="str">
            <v>-</v>
          </cell>
          <cell r="D614">
            <v>0.18498851309401143</v>
          </cell>
          <cell r="E614">
            <v>3.323573803422003E-2</v>
          </cell>
          <cell r="F614">
            <v>4.069818483189E-2</v>
          </cell>
          <cell r="G614">
            <v>4.0696250442664561E-2</v>
          </cell>
          <cell r="H614">
            <v>3.6157423561537248E-2</v>
          </cell>
          <cell r="I614">
            <v>2.1843927914182319E-2</v>
          </cell>
        </row>
        <row r="615">
          <cell r="A615" t="str">
            <v>RHES-SHCONBR3</v>
          </cell>
          <cell r="B615" t="str">
            <v>VAR_fout</v>
          </cell>
          <cell r="C615" t="str">
            <v>RHES-SHCON</v>
          </cell>
          <cell r="D615">
            <v>1.4161401098293802E-2</v>
          </cell>
          <cell r="E615">
            <v>1.355512030035456</v>
          </cell>
          <cell r="F615">
            <v>0.84220426113872571</v>
          </cell>
          <cell r="G615">
            <v>1.3554622767672735</v>
          </cell>
          <cell r="H615">
            <v>1.3554342794930487</v>
          </cell>
          <cell r="I615">
            <v>0.7316703370268105</v>
          </cell>
        </row>
        <row r="616">
          <cell r="A616" t="str">
            <v>RHES-SHCONBR3</v>
          </cell>
          <cell r="B616" t="str">
            <v>VAR_fin</v>
          </cell>
          <cell r="C616" t="str">
            <v>CON</v>
          </cell>
          <cell r="D616">
            <v>1.4161401098293802E-2</v>
          </cell>
          <cell r="E616">
            <v>1.355512030035456</v>
          </cell>
          <cell r="F616">
            <v>0.84220426113872571</v>
          </cell>
          <cell r="G616">
            <v>1.3554622767672735</v>
          </cell>
          <cell r="H616">
            <v>1.3554342794930487</v>
          </cell>
          <cell r="I616">
            <v>0.7316703370268105</v>
          </cell>
        </row>
        <row r="617">
          <cell r="A617" t="str">
            <v>RHES-SHCONBR3</v>
          </cell>
          <cell r="B617" t="str">
            <v>VAR_ncap</v>
          </cell>
          <cell r="C617" t="str">
            <v>-</v>
          </cell>
          <cell r="D617">
            <v>5.4754062553839002E-2</v>
          </cell>
          <cell r="E617">
            <v>5.4754056662266501E-2</v>
          </cell>
          <cell r="F617">
            <v>1.0853209108711501E-8</v>
          </cell>
          <cell r="G617">
            <v>1.5735566526051599E-8</v>
          </cell>
          <cell r="H617">
            <v>3.2491808728051502E-8</v>
          </cell>
          <cell r="I617">
            <v>4.08590831673946E-8</v>
          </cell>
        </row>
        <row r="618">
          <cell r="A618" t="str">
            <v>RHES-SHCONBR3</v>
          </cell>
          <cell r="B618" t="str">
            <v>VAR_cap</v>
          </cell>
          <cell r="C618" t="str">
            <v>-</v>
          </cell>
          <cell r="D618">
            <v>5.4754062553839002E-2</v>
          </cell>
          <cell r="E618">
            <v>0.109508119216105</v>
          </cell>
          <cell r="F618">
            <v>0.10950791592905285</v>
          </cell>
          <cell r="G618">
            <v>0.10950809702374528</v>
          </cell>
          <cell r="H618">
            <v>0.10950808585680749</v>
          </cell>
          <cell r="I618">
            <v>5.9112889971388825E-2</v>
          </cell>
        </row>
        <row r="619">
          <cell r="A619" t="str">
            <v>ITOT-SWHCONBR5</v>
          </cell>
          <cell r="B619" t="str">
            <v>VAR_fout</v>
          </cell>
          <cell r="C619" t="str">
            <v>ITOT-ELS</v>
          </cell>
          <cell r="E619">
            <v>8.402119528057463E-5</v>
          </cell>
          <cell r="F619">
            <v>8.3869567842884035E-5</v>
          </cell>
          <cell r="G619">
            <v>8.3396804504325909E-5</v>
          </cell>
          <cell r="H619">
            <v>6.8173660264273688E-5</v>
          </cell>
          <cell r="I619">
            <v>4.1674892506681741E-5</v>
          </cell>
        </row>
        <row r="620">
          <cell r="A620" t="str">
            <v>ITOT-SWHCONBR5</v>
          </cell>
          <cell r="B620" t="str">
            <v>VAR_fout</v>
          </cell>
          <cell r="C620" t="str">
            <v>ITOT-SWHC</v>
          </cell>
          <cell r="E620">
            <v>4.1211358436345815E-4</v>
          </cell>
          <cell r="F620">
            <v>4.1136987051095002E-4</v>
          </cell>
          <cell r="G620">
            <v>4.0905102473211681E-4</v>
          </cell>
          <cell r="H620">
            <v>3.3438338263181095E-4</v>
          </cell>
          <cell r="I620">
            <v>2.0441019996844976E-4</v>
          </cell>
        </row>
        <row r="621">
          <cell r="A621" t="str">
            <v>ITOT-SWHCONBR5</v>
          </cell>
          <cell r="B621" t="str">
            <v>VAR_fin</v>
          </cell>
          <cell r="C621" t="str">
            <v>CON</v>
          </cell>
          <cell r="E621">
            <v>4.9613477964403311E-4</v>
          </cell>
          <cell r="F621">
            <v>4.952394383538341E-4</v>
          </cell>
          <cell r="G621">
            <v>4.9244782923644277E-4</v>
          </cell>
          <cell r="H621">
            <v>4.0255704289608501E-4</v>
          </cell>
          <cell r="I621">
            <v>2.4608509247513156E-4</v>
          </cell>
        </row>
        <row r="622">
          <cell r="A622" t="str">
            <v>ITOT-SWHCONBR5</v>
          </cell>
          <cell r="B622" t="str">
            <v>VAR_ncap</v>
          </cell>
          <cell r="C622" t="str">
            <v>-</v>
          </cell>
          <cell r="E622">
            <v>2.6486964670992E-5</v>
          </cell>
          <cell r="F622">
            <v>6.1427062472870196E-8</v>
          </cell>
          <cell r="G622">
            <v>4.5521017846848403E-8</v>
          </cell>
          <cell r="H622">
            <v>9.5487736383600401E-6</v>
          </cell>
          <cell r="I622">
            <v>1.31799647311654E-6</v>
          </cell>
        </row>
        <row r="623">
          <cell r="A623" t="str">
            <v>ITOT-SWHCONBR5</v>
          </cell>
          <cell r="B623" t="str">
            <v>VAR_cap</v>
          </cell>
          <cell r="C623" t="str">
            <v>-</v>
          </cell>
          <cell r="E623">
            <v>2.6486964670992E-5</v>
          </cell>
          <cell r="F623">
            <v>2.6548391733464901E-5</v>
          </cell>
          <cell r="G623">
            <v>2.6593912751311701E-5</v>
          </cell>
          <cell r="H623">
            <v>1.9748223378210898E-5</v>
          </cell>
          <cell r="I623">
            <v>1.2544421083724999E-5</v>
          </cell>
        </row>
        <row r="624">
          <cell r="A624" t="str">
            <v>RHES-SHSTG-ELC</v>
          </cell>
          <cell r="B624" t="str">
            <v>VAR_fout</v>
          </cell>
          <cell r="C624" t="str">
            <v>RHES-SHAELCB</v>
          </cell>
          <cell r="D624">
            <v>2.1486855019629141E-7</v>
          </cell>
          <cell r="E624">
            <v>0.78243259730375414</v>
          </cell>
          <cell r="F624">
            <v>0.17343490999865241</v>
          </cell>
          <cell r="G624">
            <v>2.6098842178415349E-2</v>
          </cell>
          <cell r="H624">
            <v>2.8560733745629832E-4</v>
          </cell>
          <cell r="I624">
            <v>2.205493140847298E-4</v>
          </cell>
        </row>
        <row r="625">
          <cell r="A625" t="str">
            <v>RHES-SHSTG-ELC</v>
          </cell>
          <cell r="B625" t="str">
            <v>VAR_fin</v>
          </cell>
          <cell r="C625" t="str">
            <v>RHES-SHAELCB</v>
          </cell>
          <cell r="D625">
            <v>1.846131725488104E-6</v>
          </cell>
          <cell r="E625">
            <v>0.78245667669385222</v>
          </cell>
          <cell r="F625">
            <v>0.17343763087782316</v>
          </cell>
          <cell r="G625">
            <v>2.6098468919297707E-2</v>
          </cell>
          <cell r="H625">
            <v>2.9050913193943317E-4</v>
          </cell>
          <cell r="I625">
            <v>2.2422452897446785E-4</v>
          </cell>
        </row>
        <row r="626">
          <cell r="A626" t="str">
            <v>RHES-SHSTG-ELC</v>
          </cell>
          <cell r="B626" t="str">
            <v>VAR_ncap</v>
          </cell>
          <cell r="C626" t="str">
            <v>-</v>
          </cell>
          <cell r="D626">
            <v>3.9505710522763004E-3</v>
          </cell>
          <cell r="E626">
            <v>6.0047920493992303E-2</v>
          </cell>
          <cell r="F626">
            <v>3.55468240876618E-6</v>
          </cell>
          <cell r="G626">
            <v>4.68640085878383E-6</v>
          </cell>
          <cell r="H626">
            <v>5.1434328189878698E-5</v>
          </cell>
          <cell r="I626">
            <v>7.7504217340550104E-6</v>
          </cell>
        </row>
        <row r="627">
          <cell r="A627" t="str">
            <v>RHES-SHSTG-ELC</v>
          </cell>
          <cell r="B627" t="str">
            <v>VAR_cap</v>
          </cell>
          <cell r="C627" t="str">
            <v>-</v>
          </cell>
          <cell r="D627">
            <v>3.9505710522763004E-3</v>
          </cell>
          <cell r="E627">
            <v>6.3994922317331115E-2</v>
          </cell>
          <cell r="F627">
            <v>1.9287509031623809E-2</v>
          </cell>
          <cell r="G627">
            <v>4.7218847261323027E-3</v>
          </cell>
          <cell r="H627">
            <v>5.8068919706895996E-5</v>
          </cell>
          <cell r="I627">
            <v>4.199475856218984E-5</v>
          </cell>
        </row>
        <row r="628">
          <cell r="A628" t="str">
            <v>RHES-SHCONBR4</v>
          </cell>
          <cell r="B628" t="str">
            <v>VAR_fout</v>
          </cell>
          <cell r="C628" t="str">
            <v>RHES-SHCON</v>
          </cell>
          <cell r="E628">
            <v>0.42668780141952672</v>
          </cell>
          <cell r="F628">
            <v>0.23367041500849614</v>
          </cell>
          <cell r="G628">
            <v>0.42664092452609248</v>
          </cell>
          <cell r="H628">
            <v>0.4266139768313415</v>
          </cell>
          <cell r="I628">
            <v>0.24663059770990425</v>
          </cell>
        </row>
        <row r="629">
          <cell r="A629" t="str">
            <v>RHES-SHCONBR4</v>
          </cell>
          <cell r="B629" t="str">
            <v>VAR_fin</v>
          </cell>
          <cell r="C629" t="str">
            <v>CON</v>
          </cell>
          <cell r="E629">
            <v>0.42668780141952672</v>
          </cell>
          <cell r="F629">
            <v>0.23367041500849614</v>
          </cell>
          <cell r="G629">
            <v>0.42664092452609248</v>
          </cell>
          <cell r="H629">
            <v>0.4266139768313415</v>
          </cell>
          <cell r="I629">
            <v>0.24663059770990425</v>
          </cell>
        </row>
        <row r="630">
          <cell r="A630" t="str">
            <v>RHES-SHCONBR4</v>
          </cell>
          <cell r="B630" t="str">
            <v>VAR_ncap</v>
          </cell>
          <cell r="C630" t="str">
            <v>-</v>
          </cell>
          <cell r="E630">
            <v>3.4470580994863602E-2</v>
          </cell>
          <cell r="G630">
            <v>1.0742111206371299E-8</v>
          </cell>
          <cell r="H630">
            <v>2.15851429678426E-8</v>
          </cell>
          <cell r="I630">
            <v>2.8706154108825501E-8</v>
          </cell>
        </row>
        <row r="631">
          <cell r="A631" t="str">
            <v>RHES-SHCONBR4</v>
          </cell>
          <cell r="B631" t="str">
            <v>VAR_cap</v>
          </cell>
          <cell r="C631" t="str">
            <v>-</v>
          </cell>
          <cell r="E631">
            <v>3.4470580994863602E-2</v>
          </cell>
          <cell r="F631">
            <v>3.4470495433190376E-2</v>
          </cell>
          <cell r="G631">
            <v>3.4470561075557307E-2</v>
          </cell>
          <cell r="H631">
            <v>3.4470548016449325E-2</v>
          </cell>
          <cell r="I631">
            <v>1.992751172948325E-2</v>
          </cell>
        </row>
        <row r="632">
          <cell r="A632" t="str">
            <v>ITOT-SWHCONBR6</v>
          </cell>
          <cell r="B632" t="str">
            <v>VAR_fout</v>
          </cell>
          <cell r="C632" t="str">
            <v>ITOT-SWHC</v>
          </cell>
          <cell r="E632">
            <v>1.9894418066200006E-4</v>
          </cell>
          <cell r="F632">
            <v>2.0092868579870833E-4</v>
          </cell>
          <cell r="G632">
            <v>1.9438920828381383E-4</v>
          </cell>
          <cell r="H632">
            <v>2.1930881029008208E-4</v>
          </cell>
          <cell r="I632">
            <v>1.3003410179667264E-4</v>
          </cell>
        </row>
        <row r="633">
          <cell r="A633" t="str">
            <v>ITOT-SWHCONBR6</v>
          </cell>
          <cell r="B633" t="str">
            <v>VAR_fin</v>
          </cell>
          <cell r="C633" t="str">
            <v>CON</v>
          </cell>
          <cell r="E633">
            <v>1.9894418066200006E-4</v>
          </cell>
          <cell r="F633">
            <v>2.0092868579870833E-4</v>
          </cell>
          <cell r="G633">
            <v>1.9438920828381383E-4</v>
          </cell>
          <cell r="H633">
            <v>2.1930881029008208E-4</v>
          </cell>
          <cell r="I633">
            <v>1.3003410179667264E-4</v>
          </cell>
        </row>
        <row r="634">
          <cell r="A634" t="str">
            <v>ITOT-SWHCONBR6</v>
          </cell>
          <cell r="B634" t="str">
            <v>VAR_ncap</v>
          </cell>
          <cell r="C634" t="str">
            <v>-</v>
          </cell>
          <cell r="E634">
            <v>1.03821386444005E-5</v>
          </cell>
          <cell r="F634">
            <v>2.2612923900235599E-7</v>
          </cell>
          <cell r="G634">
            <v>5.5127442774021397E-8</v>
          </cell>
          <cell r="H634">
            <v>1.1987367227510301E-6</v>
          </cell>
          <cell r="I634">
            <v>1.77058820295174E-6</v>
          </cell>
        </row>
        <row r="635">
          <cell r="A635" t="str">
            <v>ITOT-SWHCONBR6</v>
          </cell>
          <cell r="B635" t="str">
            <v>VAR_cap</v>
          </cell>
          <cell r="C635" t="str">
            <v>-</v>
          </cell>
          <cell r="E635">
            <v>1.03821386444005E-5</v>
          </cell>
          <cell r="F635">
            <v>1.06082678834029E-5</v>
          </cell>
          <cell r="G635">
            <v>1.0663395326176901E-5</v>
          </cell>
          <cell r="H635">
            <v>1.06141871636129E-5</v>
          </cell>
          <cell r="I635">
            <v>6.5903685413779001E-6</v>
          </cell>
        </row>
        <row r="636">
          <cell r="A636" t="str">
            <v>RHNM-SHNGAHP</v>
          </cell>
          <cell r="B636" t="str">
            <v>VAR_fout</v>
          </cell>
          <cell r="C636" t="str">
            <v>CO2_R</v>
          </cell>
          <cell r="F636">
            <v>6.6922551320951298</v>
          </cell>
          <cell r="G636">
            <v>19.609898644997301</v>
          </cell>
          <cell r="H636">
            <v>35.989625471837002</v>
          </cell>
          <cell r="I636">
            <v>48.6098470242814</v>
          </cell>
        </row>
        <row r="637">
          <cell r="A637" t="str">
            <v>RHNM-SHNGAHP</v>
          </cell>
          <cell r="B637" t="str">
            <v>VAR_fout</v>
          </cell>
          <cell r="C637" t="str">
            <v>RHNM-SHANGAH</v>
          </cell>
          <cell r="F637">
            <v>0.23001271584251556</v>
          </cell>
          <cell r="G637">
            <v>0.68442090373726228</v>
          </cell>
          <cell r="H637">
            <v>1.2774736315426038</v>
          </cell>
          <cell r="I637">
            <v>1.7398313764796072</v>
          </cell>
        </row>
        <row r="638">
          <cell r="A638" t="str">
            <v>RHNM-SHNGAHP</v>
          </cell>
          <cell r="B638" t="str">
            <v>VAR_fin</v>
          </cell>
          <cell r="C638" t="str">
            <v>RNGA</v>
          </cell>
          <cell r="F638">
            <v>0.11865700588821158</v>
          </cell>
          <cell r="G638">
            <v>0.34769323838647698</v>
          </cell>
          <cell r="H638">
            <v>0.63811392680562073</v>
          </cell>
          <cell r="I638">
            <v>0.86187672028867623</v>
          </cell>
        </row>
        <row r="639">
          <cell r="A639" t="str">
            <v>RHNM-SHNGAHP</v>
          </cell>
          <cell r="B639" t="str">
            <v>VAR_fin</v>
          </cell>
          <cell r="C639" t="str">
            <v>RHNMELCHPC</v>
          </cell>
          <cell r="F639">
            <v>0.23001271584251556</v>
          </cell>
          <cell r="G639">
            <v>0.68442090373726228</v>
          </cell>
          <cell r="H639">
            <v>1.2774736315426038</v>
          </cell>
          <cell r="I639">
            <v>1.7398313764796072</v>
          </cell>
        </row>
        <row r="640">
          <cell r="A640" t="str">
            <v>RHNM-SHNGAHP</v>
          </cell>
          <cell r="B640" t="str">
            <v>VAR_ncap</v>
          </cell>
          <cell r="C640" t="str">
            <v>-</v>
          </cell>
          <cell r="E640">
            <v>2.6148850165746402E-7</v>
          </cell>
          <cell r="F640">
            <v>1.78706262964996E-2</v>
          </cell>
          <cell r="G640">
            <v>3.5261705649881403E-2</v>
          </cell>
          <cell r="H640">
            <v>4.5833443257824201E-2</v>
          </cell>
          <cell r="I640">
            <v>9.0754848471613497E-2</v>
          </cell>
        </row>
        <row r="641">
          <cell r="A641" t="str">
            <v>RHNM-SHNGAHP</v>
          </cell>
          <cell r="B641" t="str">
            <v>VAR_cap</v>
          </cell>
          <cell r="C641" t="str">
            <v>-</v>
          </cell>
          <cell r="E641">
            <v>2.6148850165746402E-7</v>
          </cell>
          <cell r="F641">
            <v>1.787083641402339E-2</v>
          </cell>
          <cell r="G641">
            <v>5.3132523286306188E-2</v>
          </cell>
          <cell r="H641">
            <v>9.9169463692566712E-2</v>
          </cell>
          <cell r="I641">
            <v>0.13505258120074257</v>
          </cell>
        </row>
        <row r="642">
          <cell r="A642" t="str">
            <v>D-SCOM_KEV_WOD_ELC_CHP</v>
          </cell>
          <cell r="B642" t="str">
            <v>VAR_fout</v>
          </cell>
          <cell r="C642" t="str">
            <v>ELC5</v>
          </cell>
          <cell r="G642">
            <v>4.7981981311199091E-4</v>
          </cell>
          <cell r="H642">
            <v>2.7177069926415451E-4</v>
          </cell>
          <cell r="I642">
            <v>9.0026442680139502E-5</v>
          </cell>
        </row>
        <row r="643">
          <cell r="A643" t="str">
            <v>D-SCOM_KEV_WOD_ELC_CHP</v>
          </cell>
          <cell r="B643" t="str">
            <v>VAR_fout</v>
          </cell>
          <cell r="C643" t="str">
            <v>SCOM_ELC</v>
          </cell>
          <cell r="G643">
            <v>1.0400622985500052E-4</v>
          </cell>
          <cell r="H643">
            <v>2.7164474002789734E-4</v>
          </cell>
          <cell r="I643">
            <v>8.9977457914625823E-5</v>
          </cell>
        </row>
        <row r="644">
          <cell r="A644" t="str">
            <v>D-SCOM_KEV_WOD_ELC_CHP</v>
          </cell>
          <cell r="B644" t="str">
            <v>VAR_fin</v>
          </cell>
          <cell r="C644" t="str">
            <v>SCOM_KEV_WOD_ELC_CHP</v>
          </cell>
          <cell r="G644">
            <v>5.8227224515422396E-4</v>
          </cell>
          <cell r="H644">
            <v>5.3585836126340358E-4</v>
          </cell>
          <cell r="I644">
            <v>1.7290624025408286E-4</v>
          </cell>
        </row>
        <row r="645">
          <cell r="A645" t="str">
            <v>RHES-SHCONBR5</v>
          </cell>
          <cell r="B645" t="str">
            <v>VAR_fout</v>
          </cell>
          <cell r="C645" t="str">
            <v>RHES-SHCON</v>
          </cell>
          <cell r="E645">
            <v>2.8507026969808551E-2</v>
          </cell>
          <cell r="F645">
            <v>1.4292021648537349E-2</v>
          </cell>
          <cell r="G645">
            <v>2.8462914593244005E-2</v>
          </cell>
          <cell r="H645">
            <v>2.8438686844353123E-2</v>
          </cell>
          <cell r="I645">
            <v>1.6444612706151242E-2</v>
          </cell>
        </row>
        <row r="646">
          <cell r="A646" t="str">
            <v>RHES-SHCONBR5</v>
          </cell>
          <cell r="B646" t="str">
            <v>VAR_fin</v>
          </cell>
          <cell r="C646" t="str">
            <v>CON</v>
          </cell>
          <cell r="E646">
            <v>2.8507026969808551E-2</v>
          </cell>
          <cell r="F646">
            <v>1.4292021648537349E-2</v>
          </cell>
          <cell r="G646">
            <v>2.8462914593244005E-2</v>
          </cell>
          <cell r="H646">
            <v>2.8438686844353123E-2</v>
          </cell>
          <cell r="I646">
            <v>1.6444612706151242E-2</v>
          </cell>
        </row>
        <row r="647">
          <cell r="A647" t="str">
            <v>RHES-SHCONBR5</v>
          </cell>
          <cell r="B647" t="str">
            <v>VAR_ncap</v>
          </cell>
          <cell r="C647" t="str">
            <v>-</v>
          </cell>
          <cell r="E647">
            <v>2.3024512505944901E-3</v>
          </cell>
          <cell r="H647">
            <v>1.5251958186525999E-8</v>
          </cell>
          <cell r="I647">
            <v>2.1075099827016599E-8</v>
          </cell>
        </row>
        <row r="648">
          <cell r="A648" t="str">
            <v>RHES-SHCONBR5</v>
          </cell>
          <cell r="B648" t="str">
            <v>VAR_cap</v>
          </cell>
          <cell r="C648" t="str">
            <v>-</v>
          </cell>
          <cell r="E648">
            <v>2.3024512505944901E-3</v>
          </cell>
          <cell r="F648">
            <v>2.3023740441187519E-3</v>
          </cell>
          <cell r="G648">
            <v>2.3024217693300179E-3</v>
          </cell>
          <cell r="H648">
            <v>2.302399785498184E-3</v>
          </cell>
          <cell r="I648">
            <v>1.3310561350038225E-3</v>
          </cell>
        </row>
        <row r="649">
          <cell r="A649" t="str">
            <v>RHNS-SHCONBR</v>
          </cell>
          <cell r="B649" t="str">
            <v>VAR_fout</v>
          </cell>
          <cell r="C649" t="str">
            <v>RHNS-SHCON</v>
          </cell>
          <cell r="F649">
            <v>4.7880257225497405E-4</v>
          </cell>
          <cell r="G649">
            <v>4.7671329741395021E-4</v>
          </cell>
          <cell r="H649">
            <v>4.4901908493827983E-3</v>
          </cell>
          <cell r="I649">
            <v>6.8445849693653013E-2</v>
          </cell>
        </row>
        <row r="650">
          <cell r="A650" t="str">
            <v>RHNS-SHCONBR</v>
          </cell>
          <cell r="B650" t="str">
            <v>VAR_fin</v>
          </cell>
          <cell r="C650" t="str">
            <v>CON</v>
          </cell>
          <cell r="F650">
            <v>4.7880257225497405E-4</v>
          </cell>
          <cell r="G650">
            <v>4.7671329741395021E-4</v>
          </cell>
          <cell r="H650">
            <v>4.4901908493827983E-3</v>
          </cell>
          <cell r="I650">
            <v>6.8445849693653013E-2</v>
          </cell>
        </row>
        <row r="651">
          <cell r="A651" t="str">
            <v>RHNS-SHCONBR</v>
          </cell>
          <cell r="B651" t="str">
            <v>VAR_ncap</v>
          </cell>
          <cell r="C651" t="str">
            <v>-</v>
          </cell>
          <cell r="E651">
            <v>1.30098221430141E-8</v>
          </cell>
          <cell r="F651">
            <v>3.5312681438596302E-5</v>
          </cell>
          <cell r="G651">
            <v>3.77161970820789E-8</v>
          </cell>
          <cell r="H651">
            <v>2.8180714422896999E-4</v>
          </cell>
          <cell r="I651">
            <v>4.6539807045692001E-3</v>
          </cell>
        </row>
        <row r="652">
          <cell r="A652" t="str">
            <v>RHNS-SHCONBR</v>
          </cell>
          <cell r="B652" t="str">
            <v>VAR_cap</v>
          </cell>
          <cell r="C652" t="str">
            <v>-</v>
          </cell>
          <cell r="E652">
            <v>1.30098221430141E-8</v>
          </cell>
          <cell r="F652">
            <v>3.5325691260739301E-5</v>
          </cell>
          <cell r="G652">
            <v>3.5363407457821403E-5</v>
          </cell>
          <cell r="H652">
            <v>3.2758811142527999E-4</v>
          </cell>
          <cell r="I652">
            <v>4.9815688159944799E-3</v>
          </cell>
        </row>
        <row r="653">
          <cell r="A653" t="str">
            <v>D-RHEM_SOLELC</v>
          </cell>
          <cell r="B653" t="str">
            <v>VAR_fout</v>
          </cell>
          <cell r="C653" t="str">
            <v>ELC5</v>
          </cell>
          <cell r="D653">
            <v>0.13158729149569792</v>
          </cell>
          <cell r="E653">
            <v>0.68022652536060668</v>
          </cell>
          <cell r="F653">
            <v>1.1296344205685516</v>
          </cell>
          <cell r="G653">
            <v>1.3059932888515375</v>
          </cell>
          <cell r="H653">
            <v>1.4245493507797669</v>
          </cell>
          <cell r="I653">
            <v>1.5048417690262406</v>
          </cell>
        </row>
        <row r="654">
          <cell r="A654" t="str">
            <v>D-RHEM_SOLELC</v>
          </cell>
          <cell r="B654" t="str">
            <v>VAR_fout</v>
          </cell>
          <cell r="C654" t="str">
            <v>RHEM_ELC</v>
          </cell>
          <cell r="D654">
            <v>0.73089593429014998</v>
          </cell>
          <cell r="E654">
            <v>0.60735621233555614</v>
          </cell>
          <cell r="F654">
            <v>0.96696804303127293</v>
          </cell>
          <cell r="G654">
            <v>1.1329112872008977</v>
          </cell>
          <cell r="H654">
            <v>1.2695244513647941</v>
          </cell>
          <cell r="I654">
            <v>1.4710943107251195</v>
          </cell>
        </row>
        <row r="655">
          <cell r="A655" t="str">
            <v>D-RHEM_SOLELC</v>
          </cell>
          <cell r="B655" t="str">
            <v>VAR_fin</v>
          </cell>
          <cell r="C655" t="str">
            <v>RHEM_SOL_ELC</v>
          </cell>
          <cell r="D655">
            <v>0.86248322578584768</v>
          </cell>
          <cell r="E655">
            <v>1.2875827103431521</v>
          </cell>
          <cell r="F655">
            <v>2.0966024635998251</v>
          </cell>
          <cell r="G655">
            <v>2.438902364490168</v>
          </cell>
          <cell r="H655">
            <v>2.6940685373389708</v>
          </cell>
          <cell r="I655">
            <v>2.9759309185788649</v>
          </cell>
        </row>
        <row r="656">
          <cell r="A656" t="str">
            <v>ITOT-SWHCONBR7</v>
          </cell>
          <cell r="B656" t="str">
            <v>VAR_fout</v>
          </cell>
          <cell r="C656" t="str">
            <v>ITOT-ELS</v>
          </cell>
          <cell r="E656">
            <v>0.23672167072949371</v>
          </cell>
          <cell r="F656">
            <v>0.23669917003140958</v>
          </cell>
          <cell r="G656">
            <v>0.23670139681877839</v>
          </cell>
          <cell r="H656">
            <v>5.8677471614588411E-4</v>
          </cell>
          <cell r="I656">
            <v>4.5297626747334036E-4</v>
          </cell>
        </row>
        <row r="657">
          <cell r="A657" t="str">
            <v>ITOT-SWHCONBR7</v>
          </cell>
          <cell r="B657" t="str">
            <v>VAR_fout</v>
          </cell>
          <cell r="C657" t="str">
            <v>ITOT-SWHC</v>
          </cell>
          <cell r="E657">
            <v>4.1278968913579378E-2</v>
          </cell>
          <cell r="F657">
            <v>4.1275045294698678E-2</v>
          </cell>
          <cell r="G657">
            <v>4.127543359664964E-2</v>
          </cell>
          <cell r="H657">
            <v>1.0232039674448995E-4</v>
          </cell>
          <cell r="I657">
            <v>7.8988937540020387E-5</v>
          </cell>
        </row>
        <row r="658">
          <cell r="A658" t="str">
            <v>ITOT-SWHCONBR7</v>
          </cell>
          <cell r="B658" t="str">
            <v>VAR_fin</v>
          </cell>
          <cell r="C658" t="str">
            <v>CON</v>
          </cell>
          <cell r="E658">
            <v>0.27800063964307314</v>
          </cell>
          <cell r="F658">
            <v>0.27797421532610811</v>
          </cell>
          <cell r="G658">
            <v>0.27797683041542814</v>
          </cell>
          <cell r="H658">
            <v>6.8909511289037351E-4</v>
          </cell>
          <cell r="I658">
            <v>5.319652050133608E-4</v>
          </cell>
        </row>
        <row r="659">
          <cell r="A659" t="str">
            <v>ITOT-SWHCONBR7</v>
          </cell>
          <cell r="B659" t="str">
            <v>VAR_ncap</v>
          </cell>
          <cell r="C659" t="str">
            <v>-</v>
          </cell>
          <cell r="E659">
            <v>1.51188633583079E-2</v>
          </cell>
          <cell r="F659">
            <v>1.79332332170406E-8</v>
          </cell>
          <cell r="G659">
            <v>1.9252756012179201E-8</v>
          </cell>
          <cell r="H659">
            <v>3.4533410787681102E-5</v>
          </cell>
          <cell r="I659">
            <v>8.19278510130166E-7</v>
          </cell>
        </row>
        <row r="660">
          <cell r="A660" t="str">
            <v>ITOT-SWHCONBR7</v>
          </cell>
          <cell r="B660" t="str">
            <v>VAR_cap</v>
          </cell>
          <cell r="C660" t="str">
            <v>-</v>
          </cell>
          <cell r="E660">
            <v>1.51188633583079E-2</v>
          </cell>
          <cell r="F660">
            <v>1.5118881291541099E-2</v>
          </cell>
          <cell r="G660">
            <v>1.51189005442972E-2</v>
          </cell>
          <cell r="H660">
            <v>3.47072634545432E-5</v>
          </cell>
          <cell r="I660">
            <v>2.5947965461069199E-5</v>
          </cell>
        </row>
        <row r="661">
          <cell r="A661" t="str">
            <v>RHNS-SHSTG-ELCHP</v>
          </cell>
          <cell r="B661" t="str">
            <v>VAR_fout</v>
          </cell>
          <cell r="C661" t="str">
            <v>RHNS-SHAELCH</v>
          </cell>
          <cell r="E661">
            <v>1.6406849978537707E-2</v>
          </cell>
          <cell r="F661">
            <v>0.20443847556624647</v>
          </cell>
          <cell r="G661">
            <v>0.29892338721957706</v>
          </cell>
          <cell r="H661">
            <v>0.47942148523600325</v>
          </cell>
          <cell r="I661">
            <v>0.53724083317566451</v>
          </cell>
        </row>
        <row r="662">
          <cell r="A662" t="str">
            <v>RHNS-SHSTG-ELCHP</v>
          </cell>
          <cell r="B662" t="str">
            <v>VAR_fin</v>
          </cell>
          <cell r="C662" t="str">
            <v>RHNS-SHAELCH</v>
          </cell>
          <cell r="E662">
            <v>1.6406906094877508E-2</v>
          </cell>
          <cell r="F662">
            <v>0.20444414585066231</v>
          </cell>
          <cell r="G662">
            <v>0.29893310257430522</v>
          </cell>
          <cell r="H662">
            <v>0.47944266848705369</v>
          </cell>
          <cell r="I662">
            <v>0.53726349506039051</v>
          </cell>
        </row>
        <row r="663">
          <cell r="A663" t="str">
            <v>RHNS-SHSTG-ELCHP</v>
          </cell>
          <cell r="B663" t="str">
            <v>VAR_ncap</v>
          </cell>
          <cell r="C663" t="str">
            <v>-</v>
          </cell>
          <cell r="D663">
            <v>2.18948015966706E-5</v>
          </cell>
          <cell r="E663">
            <v>1.7463383401695801E-3</v>
          </cell>
          <cell r="F663">
            <v>1.22921561555523E-2</v>
          </cell>
          <cell r="G663">
            <v>1.1433240386872601E-2</v>
          </cell>
          <cell r="H663">
            <v>2.0096373313126401E-2</v>
          </cell>
          <cell r="I663">
            <v>2.7631108246172102E-2</v>
          </cell>
        </row>
        <row r="664">
          <cell r="A664" t="str">
            <v>RHNS-SHSTG-ELCHP</v>
          </cell>
          <cell r="B664" t="str">
            <v>VAR_cap</v>
          </cell>
          <cell r="C664" t="str">
            <v>-</v>
          </cell>
          <cell r="D664">
            <v>2.18948015966706E-5</v>
          </cell>
          <cell r="E664">
            <v>1.766050646982937E-3</v>
          </cell>
          <cell r="F664">
            <v>1.4053794067899954E-2</v>
          </cell>
          <cell r="G664">
            <v>2.548070874109962E-2</v>
          </cell>
          <cell r="H664">
            <v>3.7682520896545099E-2</v>
          </cell>
          <cell r="I664">
            <v>4.54256538020925E-2</v>
          </cell>
        </row>
        <row r="665">
          <cell r="A665" t="str">
            <v>RHNS-SHSOLBR</v>
          </cell>
          <cell r="B665" t="str">
            <v>VAR_fout</v>
          </cell>
          <cell r="C665" t="str">
            <v>RHNS-SHASOL</v>
          </cell>
          <cell r="E665">
            <v>1.3401141435495057E-2</v>
          </cell>
          <cell r="F665">
            <v>9.59285135813565E-5</v>
          </cell>
          <cell r="G665">
            <v>2.0508580655257468E-4</v>
          </cell>
          <cell r="H665">
            <v>3.5404627313643562E-4</v>
          </cell>
          <cell r="I665">
            <v>7.0048783191159112E-4</v>
          </cell>
        </row>
        <row r="666">
          <cell r="A666" t="str">
            <v>RHNS-SHSOLBR</v>
          </cell>
          <cell r="B666" t="str">
            <v>VAR_fin</v>
          </cell>
          <cell r="C666" t="str">
            <v>SOL</v>
          </cell>
          <cell r="E666">
            <v>1.3401141435495057E-2</v>
          </cell>
          <cell r="F666">
            <v>9.59285135813565E-5</v>
          </cell>
          <cell r="G666">
            <v>2.0508580655257468E-4</v>
          </cell>
          <cell r="H666">
            <v>3.5404627313643562E-4</v>
          </cell>
          <cell r="I666">
            <v>7.0048783191159112E-4</v>
          </cell>
        </row>
        <row r="667">
          <cell r="A667" t="str">
            <v>RHNS-SHSOLBR</v>
          </cell>
          <cell r="B667" t="str">
            <v>VAR_ncap</v>
          </cell>
          <cell r="C667" t="str">
            <v>-</v>
          </cell>
          <cell r="E667">
            <v>2.22872176417485E-3</v>
          </cell>
          <cell r="F667">
            <v>2.6559073623612198E-7</v>
          </cell>
          <cell r="G667">
            <v>3.5628421673608598E-7</v>
          </cell>
          <cell r="H667">
            <v>1.31745754466558E-4</v>
          </cell>
          <cell r="I667">
            <v>9.5718929227449199E-5</v>
          </cell>
        </row>
        <row r="668">
          <cell r="A668" t="str">
            <v>RHNS-SHSOLBR</v>
          </cell>
          <cell r="B668" t="str">
            <v>VAR_cap</v>
          </cell>
          <cell r="C668" t="str">
            <v>-</v>
          </cell>
          <cell r="E668">
            <v>2.22872176417485E-3</v>
          </cell>
          <cell r="F668">
            <v>2.2228132731967271E-3</v>
          </cell>
          <cell r="G668">
            <v>2.2229899704611848E-3</v>
          </cell>
          <cell r="H668">
            <v>1.339731350562964E-4</v>
          </cell>
          <cell r="I668">
            <v>1.920780969431581E-4</v>
          </cell>
        </row>
        <row r="669">
          <cell r="A669" t="str">
            <v>RHES-SHPLTBR</v>
          </cell>
          <cell r="B669" t="str">
            <v>VAR_fout</v>
          </cell>
          <cell r="C669" t="str">
            <v>RHES-SHPLT</v>
          </cell>
          <cell r="D669">
            <v>1.2957572821802434</v>
          </cell>
          <cell r="E669">
            <v>1.4868838713616472</v>
          </cell>
          <cell r="F669">
            <v>4.4973858639449762E-2</v>
          </cell>
          <cell r="G669">
            <v>7.6798372522664679E-2</v>
          </cell>
          <cell r="H669">
            <v>0.11759959508644728</v>
          </cell>
          <cell r="I669">
            <v>0.15045035367591644</v>
          </cell>
        </row>
        <row r="670">
          <cell r="A670" t="str">
            <v>RHES-SHPLTBR</v>
          </cell>
          <cell r="B670" t="str">
            <v>VAR_fin</v>
          </cell>
          <cell r="C670" t="str">
            <v>RPLT</v>
          </cell>
          <cell r="D670">
            <v>1.4397303135336037</v>
          </cell>
          <cell r="E670">
            <v>1.6520931904018297</v>
          </cell>
          <cell r="F670">
            <v>6.1434771901093678E-2</v>
          </cell>
          <cell r="G670">
            <v>0.10371035751808222</v>
          </cell>
          <cell r="H670">
            <v>0.15738596570870483</v>
          </cell>
          <cell r="I670">
            <v>0.20018983688950903</v>
          </cell>
        </row>
        <row r="671">
          <cell r="A671" t="str">
            <v>RHES-SHPLTBR</v>
          </cell>
          <cell r="B671" t="str">
            <v>VAR_ncap</v>
          </cell>
          <cell r="C671" t="str">
            <v>-</v>
          </cell>
          <cell r="E671">
            <v>1.5443452030176901E-2</v>
          </cell>
          <cell r="F671">
            <v>1.9273784840007099E-8</v>
          </cell>
          <cell r="G671">
            <v>1.3309399525739401E-7</v>
          </cell>
          <cell r="H671">
            <v>5.5804770710968198E-3</v>
          </cell>
          <cell r="I671">
            <v>6.4474598324012304E-3</v>
          </cell>
        </row>
        <row r="672">
          <cell r="A672" t="str">
            <v>RHES-SHPLTBR</v>
          </cell>
          <cell r="B672" t="str">
            <v>VAR_cap</v>
          </cell>
          <cell r="C672" t="str">
            <v>-</v>
          </cell>
          <cell r="D672">
            <v>0.104681131456585</v>
          </cell>
          <cell r="E672">
            <v>0.12012456995028478</v>
          </cell>
          <cell r="F672">
            <v>8.0503670727157112E-3</v>
          </cell>
          <cell r="G672">
            <v>8.0504203656600049E-3</v>
          </cell>
          <cell r="H672">
            <v>9.5087179263214153E-3</v>
          </cell>
          <cell r="I672">
            <v>1.2158964479588315E-2</v>
          </cell>
        </row>
        <row r="673">
          <cell r="A673" t="str">
            <v>RHES-SHCONBR6</v>
          </cell>
          <cell r="B673" t="str">
            <v>VAR_fout</v>
          </cell>
          <cell r="C673" t="str">
            <v>RHES-SHCON</v>
          </cell>
          <cell r="E673">
            <v>1.5645289704520302E-4</v>
          </cell>
          <cell r="F673">
            <v>8.1971556179381025E-5</v>
          </cell>
          <cell r="G673">
            <v>1.3052470239650313E-4</v>
          </cell>
          <cell r="H673">
            <v>1.2432454440707873E-4</v>
          </cell>
          <cell r="I673">
            <v>7.3146254187019137E-5</v>
          </cell>
        </row>
        <row r="674">
          <cell r="A674" t="str">
            <v>RHES-SHCONBR6</v>
          </cell>
          <cell r="B674" t="str">
            <v>VAR_fin</v>
          </cell>
          <cell r="C674" t="str">
            <v>CON</v>
          </cell>
          <cell r="E674">
            <v>1.5645289704520302E-4</v>
          </cell>
          <cell r="F674">
            <v>8.1971556179381025E-5</v>
          </cell>
          <cell r="G674">
            <v>1.3052470239650313E-4</v>
          </cell>
          <cell r="H674">
            <v>1.2432454440707873E-4</v>
          </cell>
          <cell r="I674">
            <v>7.3146254187019137E-5</v>
          </cell>
        </row>
        <row r="675">
          <cell r="A675" t="str">
            <v>RHES-SHCONBR6</v>
          </cell>
          <cell r="B675" t="str">
            <v>VAR_ncap</v>
          </cell>
          <cell r="C675" t="str">
            <v>-</v>
          </cell>
          <cell r="E675">
            <v>1.2003847898892099E-5</v>
          </cell>
          <cell r="H675">
            <v>1.50687446690359E-8</v>
          </cell>
          <cell r="I675">
            <v>2.07850992867747E-8</v>
          </cell>
        </row>
        <row r="676">
          <cell r="A676" t="str">
            <v>RHES-SHCONBR6</v>
          </cell>
          <cell r="B676" t="str">
            <v>VAR_cap</v>
          </cell>
          <cell r="C676" t="str">
            <v>-</v>
          </cell>
          <cell r="E676">
            <v>1.2003847898892099E-5</v>
          </cell>
          <cell r="F676">
            <v>1.1981857347406977E-5</v>
          </cell>
          <cell r="G676">
            <v>1.1982840968475162E-5</v>
          </cell>
          <cell r="H676">
            <v>1.197941741008347E-5</v>
          </cell>
          <cell r="I676">
            <v>6.9693425062220634E-6</v>
          </cell>
        </row>
        <row r="677">
          <cell r="A677" t="str">
            <v>RHSA-WHPLTBR</v>
          </cell>
          <cell r="B677" t="str">
            <v>VAR_fout</v>
          </cell>
          <cell r="C677" t="str">
            <v>RHSA-WHPLT</v>
          </cell>
          <cell r="D677">
            <v>0.16979197615523905</v>
          </cell>
          <cell r="E677">
            <v>0.19483627225540393</v>
          </cell>
          <cell r="F677">
            <v>8.3704784052917522E-2</v>
          </cell>
          <cell r="G677">
            <v>0.15792375157972804</v>
          </cell>
          <cell r="H677">
            <v>0.29363741938657784</v>
          </cell>
          <cell r="I677">
            <v>0.42069003246744407</v>
          </cell>
        </row>
        <row r="678">
          <cell r="A678" t="str">
            <v>RHSA-WHPLTBR</v>
          </cell>
          <cell r="B678" t="str">
            <v>VAR_fin</v>
          </cell>
          <cell r="C678" t="str">
            <v>RPLT</v>
          </cell>
          <cell r="D678">
            <v>0.2716671618483823</v>
          </cell>
          <cell r="E678">
            <v>0.31173803560864655</v>
          </cell>
          <cell r="F678">
            <v>0.18360930644569665</v>
          </cell>
          <cell r="G678">
            <v>0.33965548270878432</v>
          </cell>
          <cell r="H678">
            <v>0.61552772592991778</v>
          </cell>
          <cell r="I678">
            <v>0.86233761270499965</v>
          </cell>
        </row>
        <row r="679">
          <cell r="A679" t="str">
            <v>RHSA-WHPLTBR</v>
          </cell>
          <cell r="B679" t="str">
            <v>VAR_ncap</v>
          </cell>
          <cell r="C679" t="str">
            <v>-</v>
          </cell>
          <cell r="E679">
            <v>1.95103705621583E-3</v>
          </cell>
          <cell r="F679">
            <v>4.97944532262216E-8</v>
          </cell>
          <cell r="G679">
            <v>3.91176739047386E-7</v>
          </cell>
          <cell r="H679">
            <v>8.2427775872940794E-3</v>
          </cell>
          <cell r="I679">
            <v>1.7769882379081201E-2</v>
          </cell>
        </row>
        <row r="680">
          <cell r="A680" t="str">
            <v>RHSA-WHPLTBR</v>
          </cell>
          <cell r="B680" t="str">
            <v>VAR_cap</v>
          </cell>
          <cell r="C680" t="str">
            <v>-</v>
          </cell>
          <cell r="D680">
            <v>1.12410901121583E-2</v>
          </cell>
          <cell r="E680">
            <v>1.3192103254050848E-2</v>
          </cell>
          <cell r="F680">
            <v>1.2370977544683928E-2</v>
          </cell>
          <cell r="G680">
            <v>1.2370936803064234E-2</v>
          </cell>
          <cell r="H680">
            <v>2.0076106654136568E-2</v>
          </cell>
          <cell r="I680">
            <v>2.8757215942073647E-2</v>
          </cell>
        </row>
        <row r="681">
          <cell r="A681" t="str">
            <v>ITOT-SWHCONBR8</v>
          </cell>
          <cell r="B681" t="str">
            <v>VAR_fout</v>
          </cell>
          <cell r="C681" t="str">
            <v>ITOT-ELS</v>
          </cell>
          <cell r="E681">
            <v>4.9598826637274028E-5</v>
          </cell>
          <cell r="F681">
            <v>4.9489278301417386E-5</v>
          </cell>
          <cell r="G681">
            <v>4.890213079087783E-5</v>
          </cell>
          <cell r="H681">
            <v>4.6469234548227396E-5</v>
          </cell>
          <cell r="I681">
            <v>2.7015958149502886E-5</v>
          </cell>
        </row>
        <row r="682">
          <cell r="A682" t="str">
            <v>ITOT-SWHCONBR8</v>
          </cell>
          <cell r="B682" t="str">
            <v>VAR_fout</v>
          </cell>
          <cell r="C682" t="str">
            <v>ITOT-SWHC</v>
          </cell>
          <cell r="E682">
            <v>1.9150209800966408E-4</v>
          </cell>
          <cell r="F682">
            <v>1.9107912961358807E-4</v>
          </cell>
          <cell r="G682">
            <v>1.8881214090170259E-4</v>
          </cell>
          <cell r="H682">
            <v>1.7941867806608685E-4</v>
          </cell>
          <cell r="I682">
            <v>1.0434429739306482E-4</v>
          </cell>
        </row>
        <row r="683">
          <cell r="A683" t="str">
            <v>ITOT-SWHCONBR8</v>
          </cell>
          <cell r="B683" t="str">
            <v>VAR_fin</v>
          </cell>
          <cell r="C683" t="str">
            <v>CON</v>
          </cell>
          <cell r="E683">
            <v>2.4110092464693829E-4</v>
          </cell>
          <cell r="F683">
            <v>2.4056840791500573E-4</v>
          </cell>
          <cell r="G683">
            <v>2.3771427169258069E-4</v>
          </cell>
          <cell r="H683">
            <v>2.258879126143142E-4</v>
          </cell>
          <cell r="I683">
            <v>1.3136935231818441E-4</v>
          </cell>
        </row>
        <row r="684">
          <cell r="A684" t="str">
            <v>ITOT-SWHCONBR8</v>
          </cell>
          <cell r="B684" t="str">
            <v>VAR_ncap</v>
          </cell>
          <cell r="C684" t="str">
            <v>-</v>
          </cell>
          <cell r="E684">
            <v>1.27618243494358E-5</v>
          </cell>
          <cell r="F684">
            <v>4.61398664876E-8</v>
          </cell>
          <cell r="G684">
            <v>3.4658673912346398E-8</v>
          </cell>
          <cell r="H684">
            <v>2.7863584466783001E-6</v>
          </cell>
          <cell r="I684">
            <v>1.20041593189591E-6</v>
          </cell>
        </row>
        <row r="685">
          <cell r="A685" t="str">
            <v>ITOT-SWHCONBR8</v>
          </cell>
          <cell r="B685" t="str">
            <v>VAR_cap</v>
          </cell>
          <cell r="C685" t="str">
            <v>-</v>
          </cell>
          <cell r="E685">
            <v>1.27618243494358E-5</v>
          </cell>
          <cell r="F685">
            <v>1.2807964215923399E-5</v>
          </cell>
          <cell r="G685">
            <v>1.28426228898358E-5</v>
          </cell>
          <cell r="H685">
            <v>9.5097449690856703E-6</v>
          </cell>
          <cell r="I685">
            <v>6.0530564547462203E-6</v>
          </cell>
        </row>
        <row r="686">
          <cell r="A686" t="str">
            <v>D-SCOM_KEV_HFC_ELC_CHP</v>
          </cell>
          <cell r="B686" t="str">
            <v>VAR_fout</v>
          </cell>
          <cell r="C686" t="str">
            <v>ELC5</v>
          </cell>
          <cell r="G686">
            <v>2.1529666599268588E-4</v>
          </cell>
          <cell r="H686">
            <v>2.5711178557858924E-4</v>
          </cell>
          <cell r="I686">
            <v>1.6121941476529992E-4</v>
          </cell>
        </row>
        <row r="687">
          <cell r="A687" t="str">
            <v>D-SCOM_KEV_HFC_ELC_CHP</v>
          </cell>
          <cell r="B687" t="str">
            <v>VAR_fout</v>
          </cell>
          <cell r="C687" t="str">
            <v>SCOM_ELC</v>
          </cell>
          <cell r="G687">
            <v>2.1518949678914857E-4</v>
          </cell>
          <cell r="H687">
            <v>2.5707227335195127E-4</v>
          </cell>
          <cell r="I687">
            <v>1.6109444793014336E-4</v>
          </cell>
        </row>
        <row r="688">
          <cell r="A688" t="str">
            <v>D-SCOM_KEV_HFC_ELC_CHP</v>
          </cell>
          <cell r="B688" t="str">
            <v>VAR_fin</v>
          </cell>
          <cell r="C688" t="str">
            <v>SCOM_KEV_HFC_ELC_CHP</v>
          </cell>
          <cell r="G688">
            <v>4.2754569053569545E-4</v>
          </cell>
          <cell r="H688">
            <v>5.0743764832851903E-4</v>
          </cell>
          <cell r="I688">
            <v>3.1616929270075533E-4</v>
          </cell>
        </row>
        <row r="689">
          <cell r="A689" t="str">
            <v>D-EH2R</v>
          </cell>
          <cell r="B689" t="str">
            <v>VAR_fout</v>
          </cell>
          <cell r="C689" t="str">
            <v>EH2</v>
          </cell>
          <cell r="H689">
            <v>9.2726382594988238E-4</v>
          </cell>
          <cell r="I689">
            <v>9.8049389018643003E-4</v>
          </cell>
        </row>
        <row r="690">
          <cell r="A690" t="str">
            <v>D-EH2R</v>
          </cell>
          <cell r="B690" t="str">
            <v>VAR_fin</v>
          </cell>
          <cell r="C690" t="str">
            <v>H2</v>
          </cell>
          <cell r="H690">
            <v>9.2726382594988238E-4</v>
          </cell>
          <cell r="I690">
            <v>9.8049389018643003E-4</v>
          </cell>
        </row>
        <row r="691">
          <cell r="A691" t="str">
            <v>D-EH2R</v>
          </cell>
          <cell r="B691" t="str">
            <v>VAR_ncap</v>
          </cell>
          <cell r="C691" t="str">
            <v>-</v>
          </cell>
          <cell r="H691">
            <v>1.29446893175708E-4</v>
          </cell>
          <cell r="I691">
            <v>5.7499713342358503E-5</v>
          </cell>
        </row>
        <row r="692">
          <cell r="A692" t="str">
            <v>D-EH2R</v>
          </cell>
          <cell r="B692" t="str">
            <v>VAR_cap</v>
          </cell>
          <cell r="C692" t="str">
            <v>-</v>
          </cell>
          <cell r="H692">
            <v>1.2951113294620801E-4</v>
          </cell>
          <cell r="I692">
            <v>1.01838024580084E-4</v>
          </cell>
        </row>
        <row r="693">
          <cell r="A693" t="str">
            <v>SCOM-ELCSPECADV</v>
          </cell>
          <cell r="B693" t="str">
            <v>VAR_ncap</v>
          </cell>
          <cell r="C693" t="str">
            <v>-</v>
          </cell>
          <cell r="F693">
            <v>4.3780254934474402E-8</v>
          </cell>
          <cell r="G693">
            <v>4.9110444855812798E-8</v>
          </cell>
          <cell r="H693">
            <v>3.9608206047120402E-8</v>
          </cell>
          <cell r="I693">
            <v>2.36896243375226E-8</v>
          </cell>
        </row>
        <row r="694">
          <cell r="A694" t="str">
            <v>SCOM-ELCSPECADV</v>
          </cell>
          <cell r="B694" t="str">
            <v>VAR_cap</v>
          </cell>
          <cell r="C694" t="str">
            <v>-</v>
          </cell>
          <cell r="F694">
            <v>4.3780254934474402E-8</v>
          </cell>
          <cell r="G694">
            <v>5.5231099608535199E-8</v>
          </cell>
          <cell r="H694">
            <v>5.2610411597491987E-8</v>
          </cell>
          <cell r="I694">
            <v>4.6032505409186003E-8</v>
          </cell>
        </row>
        <row r="695">
          <cell r="A695" t="str">
            <v>RHSA-WHLTHRD</v>
          </cell>
          <cell r="B695" t="str">
            <v>VAR_fout</v>
          </cell>
          <cell r="C695" t="str">
            <v>RHSA-WHLTHRD</v>
          </cell>
          <cell r="D695">
            <v>1.3170457940367488</v>
          </cell>
          <cell r="E695">
            <v>1.4633767266482216</v>
          </cell>
          <cell r="F695">
            <v>0.94735440230055235</v>
          </cell>
          <cell r="G695">
            <v>1.1460781018403343</v>
          </cell>
          <cell r="H695">
            <v>1.3458920794688198</v>
          </cell>
          <cell r="I695">
            <v>1.4901206152450162</v>
          </cell>
        </row>
        <row r="696">
          <cell r="A696" t="str">
            <v>RHSA-WHLTHRD</v>
          </cell>
          <cell r="B696" t="str">
            <v>VAR_fin</v>
          </cell>
          <cell r="C696" t="str">
            <v>RHSA_LTH</v>
          </cell>
          <cell r="D696">
            <v>1.710449083164608</v>
          </cell>
          <cell r="E696">
            <v>1.8955657080935526</v>
          </cell>
          <cell r="F696">
            <v>1.7495916911367055</v>
          </cell>
          <cell r="G696">
            <v>2.0655363799392541</v>
          </cell>
          <cell r="H696">
            <v>2.357983329328698</v>
          </cell>
          <cell r="I696">
            <v>2.5364287757725346</v>
          </cell>
        </row>
        <row r="697">
          <cell r="A697" t="str">
            <v>RHSA-WHLTHRD</v>
          </cell>
          <cell r="B697" t="str">
            <v>VAR_ncap</v>
          </cell>
          <cell r="C697" t="str">
            <v>-</v>
          </cell>
          <cell r="E697">
            <v>2.5327837976309699E-2</v>
          </cell>
          <cell r="F697">
            <v>1.1235060972714201E-2</v>
          </cell>
          <cell r="G697">
            <v>1.5459226719940501E-2</v>
          </cell>
          <cell r="H697">
            <v>1.3011830837061899E-2</v>
          </cell>
          <cell r="I697">
            <v>4.7166907601587302E-2</v>
          </cell>
        </row>
        <row r="698">
          <cell r="A698" t="str">
            <v>RHSA-WHLTHRD</v>
          </cell>
          <cell r="B698" t="str">
            <v>VAR_cap</v>
          </cell>
          <cell r="C698" t="str">
            <v>-</v>
          </cell>
          <cell r="D698">
            <v>0.13737412127568699</v>
          </cell>
          <cell r="E698">
            <v>0.15654318994107402</v>
          </cell>
          <cell r="F698">
            <v>8.8020640344662809E-2</v>
          </cell>
          <cell r="G698">
            <v>9.2443971625145394E-2</v>
          </cell>
          <cell r="H698">
            <v>0.12166956909417498</v>
          </cell>
          <cell r="I698">
            <v>0.152781616786969</v>
          </cell>
        </row>
        <row r="699">
          <cell r="A699" t="str">
            <v>RHES-SHCONBR7</v>
          </cell>
          <cell r="B699" t="str">
            <v>VAR_fout</v>
          </cell>
          <cell r="C699" t="str">
            <v>RHES-SHCON</v>
          </cell>
          <cell r="E699">
            <v>1.4792658766404502E-4</v>
          </cell>
          <cell r="F699">
            <v>7.7714629123415752E-5</v>
          </cell>
          <cell r="G699">
            <v>1.2257186723188171E-4</v>
          </cell>
          <cell r="H699">
            <v>1.1667414424193884E-4</v>
          </cell>
          <cell r="I699">
            <v>6.8686375293086754E-5</v>
          </cell>
        </row>
        <row r="700">
          <cell r="A700" t="str">
            <v>RHES-SHCONBR7</v>
          </cell>
          <cell r="B700" t="str">
            <v>VAR_fin</v>
          </cell>
          <cell r="C700" t="str">
            <v>CON</v>
          </cell>
          <cell r="E700">
            <v>1.4792658766404502E-4</v>
          </cell>
          <cell r="F700">
            <v>7.7714629123415752E-5</v>
          </cell>
          <cell r="G700">
            <v>1.2257186723188171E-4</v>
          </cell>
          <cell r="H700">
            <v>1.1667414424193884E-4</v>
          </cell>
          <cell r="I700">
            <v>6.8686375293086754E-5</v>
          </cell>
        </row>
        <row r="701">
          <cell r="A701" t="str">
            <v>RHES-SHCONBR7</v>
          </cell>
          <cell r="B701" t="str">
            <v>VAR_ncap</v>
          </cell>
          <cell r="C701" t="str">
            <v>-</v>
          </cell>
          <cell r="E701">
            <v>1.13123212005185E-5</v>
          </cell>
          <cell r="H701">
            <v>1.5070928434562002E-8</v>
          </cell>
          <cell r="I701">
            <v>2.0776039042544701E-8</v>
          </cell>
        </row>
        <row r="702">
          <cell r="A702" t="str">
            <v>RHES-SHCONBR7</v>
          </cell>
          <cell r="B702" t="str">
            <v>VAR_cap</v>
          </cell>
          <cell r="C702" t="str">
            <v>-</v>
          </cell>
          <cell r="E702">
            <v>1.13123212005185E-5</v>
          </cell>
          <cell r="F702">
            <v>1.1291247710983154E-5</v>
          </cell>
          <cell r="G702">
            <v>1.1301682841069134E-5</v>
          </cell>
          <cell r="H702">
            <v>1.1289042089024984E-5</v>
          </cell>
          <cell r="I702">
            <v>6.5699966178353275E-6</v>
          </cell>
        </row>
        <row r="703">
          <cell r="A703" t="str">
            <v>ITOT-SWHCONBR9</v>
          </cell>
          <cell r="B703" t="str">
            <v>VAR_fout</v>
          </cell>
          <cell r="C703" t="str">
            <v>ITOT-ELS</v>
          </cell>
          <cell r="E703">
            <v>9.2946961252091337E-6</v>
          </cell>
          <cell r="F703">
            <v>9.2010673668223041E-6</v>
          </cell>
          <cell r="G703">
            <v>8.8834746854834874E-6</v>
          </cell>
          <cell r="H703">
            <v>1.1643799922951867E-5</v>
          </cell>
          <cell r="I703">
            <v>5.2233233550176722E-6</v>
          </cell>
        </row>
        <row r="704">
          <cell r="A704" t="str">
            <v>ITOT-SWHCONBR9</v>
          </cell>
          <cell r="B704" t="str">
            <v>VAR_fout</v>
          </cell>
          <cell r="C704" t="str">
            <v>ITOT-SWHC</v>
          </cell>
          <cell r="E704">
            <v>5.4838505775848069E-5</v>
          </cell>
          <cell r="F704">
            <v>5.4293013986458987E-5</v>
          </cell>
          <cell r="G704">
            <v>5.185597559506209E-5</v>
          </cell>
          <cell r="H704">
            <v>6.9212314383800474E-5</v>
          </cell>
          <cell r="I704">
            <v>3.6221568278812873E-5</v>
          </cell>
        </row>
        <row r="705">
          <cell r="A705" t="str">
            <v>ITOT-SWHCONBR9</v>
          </cell>
          <cell r="B705" t="str">
            <v>VAR_fin</v>
          </cell>
          <cell r="C705" t="str">
            <v>CON</v>
          </cell>
          <cell r="E705">
            <v>6.4286914133428094E-5</v>
          </cell>
          <cell r="F705">
            <v>6.3647436756559178E-5</v>
          </cell>
          <cell r="G705">
            <v>6.0790508479775333E-5</v>
          </cell>
          <cell r="H705">
            <v>8.1137260193672752E-5</v>
          </cell>
          <cell r="I705">
            <v>4.246236867277469E-5</v>
          </cell>
        </row>
        <row r="706">
          <cell r="A706" t="str">
            <v>ITOT-SWHCONBR9</v>
          </cell>
          <cell r="B706" t="str">
            <v>VAR_ncap</v>
          </cell>
          <cell r="C706" t="str">
            <v>-</v>
          </cell>
          <cell r="E706">
            <v>2.9575509080903899E-6</v>
          </cell>
          <cell r="F706">
            <v>4.4122317444343301E-8</v>
          </cell>
          <cell r="G706">
            <v>2.5287526139104299E-8</v>
          </cell>
          <cell r="H706">
            <v>1.59495576038389E-7</v>
          </cell>
          <cell r="I706">
            <v>4.5330881356139301E-7</v>
          </cell>
        </row>
        <row r="707">
          <cell r="A707" t="str">
            <v>ITOT-SWHCONBR9</v>
          </cell>
          <cell r="B707" t="str">
            <v>VAR_cap</v>
          </cell>
          <cell r="C707" t="str">
            <v>-</v>
          </cell>
          <cell r="E707">
            <v>2.9575509080903899E-6</v>
          </cell>
          <cell r="F707">
            <v>3.00167322553473E-6</v>
          </cell>
          <cell r="G707">
            <v>3.0269607516738401E-6</v>
          </cell>
          <cell r="H707">
            <v>2.6783972686536298E-6</v>
          </cell>
          <cell r="I707">
            <v>1.6239307723927999E-6</v>
          </cell>
        </row>
        <row r="708">
          <cell r="A708" t="str">
            <v>SCOM-SHPLTBR</v>
          </cell>
          <cell r="B708" t="str">
            <v>VAR_fout</v>
          </cell>
          <cell r="C708" t="str">
            <v>SCOM-SHPLT</v>
          </cell>
          <cell r="D708">
            <v>1.877070820055613</v>
          </cell>
          <cell r="E708">
            <v>2.1600822734495249</v>
          </cell>
          <cell r="F708">
            <v>0.43430009777469364</v>
          </cell>
          <cell r="G708">
            <v>0.86381664536952363</v>
          </cell>
          <cell r="H708">
            <v>1.4860303137719355</v>
          </cell>
          <cell r="I708">
            <v>1.9705368263526495</v>
          </cell>
        </row>
        <row r="709">
          <cell r="A709" t="str">
            <v>SCOM-SHPLTBR</v>
          </cell>
          <cell r="B709" t="str">
            <v>VAR_fin</v>
          </cell>
          <cell r="C709" t="str">
            <v>SCOMPLTBRC</v>
          </cell>
          <cell r="D709">
            <v>1.877070820055613</v>
          </cell>
          <cell r="E709">
            <v>2.1600822734495249</v>
          </cell>
          <cell r="F709">
            <v>0.43430009777469364</v>
          </cell>
          <cell r="G709">
            <v>0.86381664536952363</v>
          </cell>
          <cell r="H709">
            <v>1.4860303137719355</v>
          </cell>
          <cell r="I709">
            <v>1.9705368263526495</v>
          </cell>
        </row>
        <row r="710">
          <cell r="A710" t="str">
            <v>SCOM-SHPLTBR</v>
          </cell>
          <cell r="B710" t="str">
            <v>VAR_fin</v>
          </cell>
          <cell r="C710" t="str">
            <v>SPLT</v>
          </cell>
          <cell r="D710">
            <v>2.0856342445062372</v>
          </cell>
          <cell r="E710">
            <v>2.4000914149439159</v>
          </cell>
          <cell r="F710">
            <v>0.64940774413807467</v>
          </cell>
          <cell r="G710">
            <v>1.2835139123502017</v>
          </cell>
          <cell r="H710">
            <v>2.2080386990974121</v>
          </cell>
          <cell r="I710">
            <v>2.9279494033598921</v>
          </cell>
        </row>
        <row r="711">
          <cell r="A711" t="str">
            <v>SCOM-SHPLTBR</v>
          </cell>
          <cell r="B711" t="str">
            <v>VAR_ncap</v>
          </cell>
          <cell r="C711" t="str">
            <v>-</v>
          </cell>
          <cell r="D711">
            <v>1.5663294556346E-4</v>
          </cell>
          <cell r="E711">
            <v>2.4143777543659799E-2</v>
          </cell>
          <cell r="F711">
            <v>1.3336694695319301E-7</v>
          </cell>
          <cell r="G711">
            <v>7.8216806836981003E-7</v>
          </cell>
          <cell r="H711">
            <v>5.0127448535701398E-2</v>
          </cell>
          <cell r="I711">
            <v>0.103642949657115</v>
          </cell>
        </row>
        <row r="712">
          <cell r="A712" t="str">
            <v>SCOM-SHPLTBR</v>
          </cell>
          <cell r="B712" t="str">
            <v>VAR_cap</v>
          </cell>
          <cell r="C712" t="str">
            <v>-</v>
          </cell>
          <cell r="D712">
            <v>0.15066750106975746</v>
          </cell>
          <cell r="E712">
            <v>0.17481122975340579</v>
          </cell>
          <cell r="F712">
            <v>6.9392584201739202E-2</v>
          </cell>
          <cell r="G712">
            <v>6.9391502687939602E-2</v>
          </cell>
          <cell r="H712">
            <v>0.1296493394735686</v>
          </cell>
          <cell r="I712">
            <v>0.17365910860824918</v>
          </cell>
        </row>
        <row r="713">
          <cell r="A713" t="str">
            <v>ITOT-SWHELCHP</v>
          </cell>
          <cell r="B713" t="str">
            <v>VAR_fout</v>
          </cell>
          <cell r="C713" t="str">
            <v>ITOT-SWHAELCH</v>
          </cell>
          <cell r="D713">
            <v>1.1081478975056465</v>
          </cell>
          <cell r="E713">
            <v>1.4007923224751331</v>
          </cell>
          <cell r="F713">
            <v>2.1662499520377168</v>
          </cell>
          <cell r="G713">
            <v>2.3932605599006065</v>
          </cell>
          <cell r="H713">
            <v>3.7492667899094263</v>
          </cell>
          <cell r="I713">
            <v>3.7689518448340236</v>
          </cell>
        </row>
        <row r="714">
          <cell r="A714" t="str">
            <v>ITOT-SWHELCHP</v>
          </cell>
          <cell r="B714" t="str">
            <v>VAR_fin</v>
          </cell>
          <cell r="C714" t="str">
            <v>ITOT_ELC</v>
          </cell>
          <cell r="D714">
            <v>0.35967381545956645</v>
          </cell>
          <cell r="E714">
            <v>0.45106276535576628</v>
          </cell>
          <cell r="F714">
            <v>0.68936745014251233</v>
          </cell>
          <cell r="G714">
            <v>0.74701462851629363</v>
          </cell>
          <cell r="H714">
            <v>1.1270725700444391</v>
          </cell>
          <cell r="I714">
            <v>1.0926589641567301</v>
          </cell>
        </row>
        <row r="715">
          <cell r="A715" t="str">
            <v>ITOT-SWHELCHP</v>
          </cell>
          <cell r="B715" t="str">
            <v>VAR_fin</v>
          </cell>
          <cell r="C715" t="str">
            <v>ITOTELCHPC</v>
          </cell>
          <cell r="D715">
            <v>1.1081478975056465</v>
          </cell>
          <cell r="E715">
            <v>1.4007923224751331</v>
          </cell>
          <cell r="F715">
            <v>2.1662499520377168</v>
          </cell>
          <cell r="G715">
            <v>2.3932605599006065</v>
          </cell>
          <cell r="H715">
            <v>3.7492667899094263</v>
          </cell>
          <cell r="I715">
            <v>3.7689518448340236</v>
          </cell>
        </row>
        <row r="716">
          <cell r="A716" t="str">
            <v>ITOT-SWHELCHP</v>
          </cell>
          <cell r="B716" t="str">
            <v>VAR_ncap</v>
          </cell>
          <cell r="C716" t="str">
            <v>-</v>
          </cell>
          <cell r="E716">
            <v>1.59718752027058E-2</v>
          </cell>
          <cell r="F716">
            <v>4.1598732120080799E-2</v>
          </cell>
          <cell r="G716">
            <v>1.2338013367152401E-2</v>
          </cell>
          <cell r="H716">
            <v>8.7485366153692207E-2</v>
          </cell>
          <cell r="I716">
            <v>0.104463221945426</v>
          </cell>
        </row>
        <row r="717">
          <cell r="A717" t="str">
            <v>ITOT-SWHELCHP</v>
          </cell>
          <cell r="B717" t="str">
            <v>VAR_cap</v>
          </cell>
          <cell r="C717" t="str">
            <v>-</v>
          </cell>
          <cell r="D717">
            <v>6.02631234918991E-2</v>
          </cell>
          <cell r="E717">
            <v>7.6234887928020315E-2</v>
          </cell>
          <cell r="F717">
            <v>0.1178333927568898</v>
          </cell>
          <cell r="G717">
            <v>0.13017113194735025</v>
          </cell>
          <cell r="H717">
            <v>0.20553411019723988</v>
          </cell>
          <cell r="I717">
            <v>0.211207192457182</v>
          </cell>
        </row>
        <row r="718">
          <cell r="A718" t="str">
            <v>RHES-SHCONBR8</v>
          </cell>
          <cell r="B718" t="str">
            <v>VAR_fout</v>
          </cell>
          <cell r="C718" t="str">
            <v>RHES-SHCON</v>
          </cell>
          <cell r="E718">
            <v>3.2431231098464673E-5</v>
          </cell>
          <cell r="F718">
            <v>1.9913923160547616E-5</v>
          </cell>
          <cell r="G718">
            <v>2.1646724586662903E-5</v>
          </cell>
          <cell r="H718">
            <v>2.1886195611477588E-5</v>
          </cell>
          <cell r="I718">
            <v>1.3488236165034747E-5</v>
          </cell>
        </row>
        <row r="719">
          <cell r="A719" t="str">
            <v>RHES-SHCONBR8</v>
          </cell>
          <cell r="B719" t="str">
            <v>VAR_fin</v>
          </cell>
          <cell r="C719" t="str">
            <v>CON</v>
          </cell>
          <cell r="E719">
            <v>3.2431231098464673E-5</v>
          </cell>
          <cell r="F719">
            <v>1.9913923160547616E-5</v>
          </cell>
          <cell r="G719">
            <v>2.1646724586662903E-5</v>
          </cell>
          <cell r="H719">
            <v>2.1886195611477588E-5</v>
          </cell>
          <cell r="I719">
            <v>1.3488236165034747E-5</v>
          </cell>
        </row>
        <row r="720">
          <cell r="A720" t="str">
            <v>RHES-SHCONBR8</v>
          </cell>
          <cell r="B720" t="str">
            <v>VAR_ncap</v>
          </cell>
          <cell r="C720" t="str">
            <v>-</v>
          </cell>
          <cell r="E720">
            <v>1.91067888375146E-6</v>
          </cell>
          <cell r="H720">
            <v>1.45468880621893E-8</v>
          </cell>
          <cell r="I720">
            <v>1.4623208189285E-8</v>
          </cell>
        </row>
        <row r="721">
          <cell r="A721" t="str">
            <v>RHES-SHCONBR8</v>
          </cell>
          <cell r="B721" t="str">
            <v>VAR_cap</v>
          </cell>
          <cell r="C721" t="str">
            <v>-</v>
          </cell>
          <cell r="E721">
            <v>1.91067888375146E-6</v>
          </cell>
          <cell r="F721">
            <v>1.91067888375146E-6</v>
          </cell>
          <cell r="G721">
            <v>1.91067888375146E-6</v>
          </cell>
          <cell r="H721">
            <v>1.9397289754682102E-6</v>
          </cell>
          <cell r="I721">
            <v>1.148238740126E-6</v>
          </cell>
        </row>
        <row r="722">
          <cell r="A722" t="str">
            <v>RHEM-SHWODBR</v>
          </cell>
          <cell r="B722" t="str">
            <v>VAR_fout</v>
          </cell>
          <cell r="C722" t="str">
            <v>RHEM-SHWOD</v>
          </cell>
          <cell r="D722">
            <v>4.7439191516416184</v>
          </cell>
          <cell r="E722">
            <v>4.3855018077752286</v>
          </cell>
          <cell r="F722">
            <v>4.9833974199659474</v>
          </cell>
          <cell r="G722">
            <v>5.0618188151783503</v>
          </cell>
          <cell r="H722">
            <v>4.7784078813512645</v>
          </cell>
          <cell r="I722">
            <v>4.439891620524234</v>
          </cell>
        </row>
        <row r="723">
          <cell r="A723" t="str">
            <v>RHEM-SHWODBR</v>
          </cell>
          <cell r="B723" t="str">
            <v>VAR_fin</v>
          </cell>
          <cell r="C723" t="str">
            <v>RHEMWODBRC</v>
          </cell>
          <cell r="D723">
            <v>4.7439191516416184</v>
          </cell>
          <cell r="E723">
            <v>4.3855018077752286</v>
          </cell>
          <cell r="F723">
            <v>4.9833974199659474</v>
          </cell>
          <cell r="G723">
            <v>5.0618188151783503</v>
          </cell>
          <cell r="H723">
            <v>4.7784078813512645</v>
          </cell>
          <cell r="I723">
            <v>4.439891620524234</v>
          </cell>
        </row>
        <row r="724">
          <cell r="A724" t="str">
            <v>RHEM-SHWODBR</v>
          </cell>
          <cell r="B724" t="str">
            <v>VAR_fin</v>
          </cell>
          <cell r="C724" t="str">
            <v>RWOD</v>
          </cell>
          <cell r="D724">
            <v>6.5887765995022516</v>
          </cell>
          <cell r="E724">
            <v>6.0909747330211479</v>
          </cell>
          <cell r="F724">
            <v>6.9025848529248632</v>
          </cell>
          <cell r="G724">
            <v>6.9169575551995139</v>
          </cell>
          <cell r="H724">
            <v>6.4586894662363905</v>
          </cell>
          <cell r="I724">
            <v>5.9263459138074683</v>
          </cell>
        </row>
        <row r="725">
          <cell r="A725" t="str">
            <v>RHEM-SHWODBR</v>
          </cell>
          <cell r="B725" t="str">
            <v>VAR_ncap</v>
          </cell>
          <cell r="C725" t="str">
            <v>-</v>
          </cell>
          <cell r="D725">
            <v>1.17319476910994E-6</v>
          </cell>
          <cell r="E725">
            <v>5.7661065710583002E-7</v>
          </cell>
          <cell r="F725">
            <v>1.6850462202340901E-2</v>
          </cell>
          <cell r="G725">
            <v>5.5240311483325203E-3</v>
          </cell>
          <cell r="H725">
            <v>9.2438856521821794E-2</v>
          </cell>
          <cell r="I725">
            <v>0.14563295787130101</v>
          </cell>
        </row>
        <row r="726">
          <cell r="A726" t="str">
            <v>RHEM-SHWODBR</v>
          </cell>
          <cell r="B726" t="str">
            <v>VAR_cap</v>
          </cell>
          <cell r="C726" t="str">
            <v>-</v>
          </cell>
          <cell r="D726">
            <v>0.33507295214976213</v>
          </cell>
          <cell r="E726">
            <v>0.33507340281657277</v>
          </cell>
          <cell r="F726">
            <v>0.35192376974354844</v>
          </cell>
          <cell r="G726">
            <v>0.35744776355975488</v>
          </cell>
          <cell r="H726">
            <v>0.33752269967545834</v>
          </cell>
          <cell r="I726">
            <v>0.31352975197020883</v>
          </cell>
        </row>
        <row r="727">
          <cell r="A727" t="str">
            <v>RHES-SHCONBR9</v>
          </cell>
          <cell r="B727" t="str">
            <v>VAR_fout</v>
          </cell>
          <cell r="C727" t="str">
            <v>RHES-SHCON</v>
          </cell>
          <cell r="E727">
            <v>8.8877382893829096E-6</v>
          </cell>
          <cell r="F727">
            <v>8.0523627782623427E-6</v>
          </cell>
          <cell r="G727">
            <v>5.2966857842018917E-6</v>
          </cell>
          <cell r="H727">
            <v>6.6905687485205133E-6</v>
          </cell>
          <cell r="I727">
            <v>4.3888171053384099E-6</v>
          </cell>
        </row>
        <row r="728">
          <cell r="A728" t="str">
            <v>RHES-SHCONBR9</v>
          </cell>
          <cell r="B728" t="str">
            <v>VAR_fin</v>
          </cell>
          <cell r="C728" t="str">
            <v>CON</v>
          </cell>
          <cell r="E728">
            <v>8.8877382893829096E-6</v>
          </cell>
          <cell r="F728">
            <v>8.0523627782623427E-6</v>
          </cell>
          <cell r="G728">
            <v>5.2966857842018917E-6</v>
          </cell>
          <cell r="H728">
            <v>6.6905687485205133E-6</v>
          </cell>
          <cell r="I728">
            <v>4.3888171053384099E-6</v>
          </cell>
        </row>
        <row r="729">
          <cell r="A729" t="str">
            <v>D-RHNS_LTH_CHPNGA</v>
          </cell>
          <cell r="B729" t="str">
            <v>VAR_fout</v>
          </cell>
          <cell r="C729" t="str">
            <v>RHSA_LTH</v>
          </cell>
          <cell r="D729">
            <v>4.0675589945527702E-6</v>
          </cell>
          <cell r="E729">
            <v>1.1497736418128243E-5</v>
          </cell>
          <cell r="F729">
            <v>3.482491285221574E-4</v>
          </cell>
          <cell r="G729">
            <v>1.1886525637356911E-3</v>
          </cell>
          <cell r="H729">
            <v>7.3188369842862159E-4</v>
          </cell>
          <cell r="I729">
            <v>5.9707727741907198E-4</v>
          </cell>
        </row>
        <row r="730">
          <cell r="A730" t="str">
            <v>D-RHNS_LTH_CHPNGA</v>
          </cell>
          <cell r="B730" t="str">
            <v>VAR_fout</v>
          </cell>
          <cell r="C730" t="str">
            <v>LTH</v>
          </cell>
          <cell r="G730">
            <v>2.2748662264214085E-7</v>
          </cell>
          <cell r="H730">
            <v>4.3356166427782313E-7</v>
          </cell>
        </row>
        <row r="731">
          <cell r="A731" t="str">
            <v>D-RHNS_LTH_CHPNGA</v>
          </cell>
          <cell r="B731" t="str">
            <v>VAR_fout</v>
          </cell>
          <cell r="C731" t="str">
            <v>RHNS_LTH_CHPNGA_ON</v>
          </cell>
          <cell r="D731">
            <v>7.3683170256672998E-6</v>
          </cell>
          <cell r="E731">
            <v>8.82434573547672E-4</v>
          </cell>
          <cell r="F731">
            <v>5.0607668544625428E-4</v>
          </cell>
          <cell r="H731">
            <v>4.1775194095051066E-4</v>
          </cell>
        </row>
        <row r="732">
          <cell r="A732" t="str">
            <v>D-RHNS_LTH_CHPNGA</v>
          </cell>
          <cell r="B732" t="str">
            <v>VAR_fin</v>
          </cell>
          <cell r="C732" t="str">
            <v>RHNS_LTH_CHPNGA</v>
          </cell>
          <cell r="D732">
            <v>1.1435876020220075E-5</v>
          </cell>
          <cell r="E732">
            <v>8.9412611839833863E-4</v>
          </cell>
          <cell r="F732">
            <v>8.5464196876232129E-4</v>
          </cell>
          <cell r="G732">
            <v>1.1894336121233164E-3</v>
          </cell>
          <cell r="H732">
            <v>1.1511330070771912E-3</v>
          </cell>
          <cell r="I732">
            <v>5.9825937535591092E-4</v>
          </cell>
        </row>
        <row r="733">
          <cell r="A733" t="str">
            <v>D-SLFO</v>
          </cell>
          <cell r="B733" t="str">
            <v>VAR_fout</v>
          </cell>
          <cell r="C733" t="str">
            <v>CO2</v>
          </cell>
          <cell r="D733">
            <v>2267.78865391519</v>
          </cell>
          <cell r="E733">
            <v>2030.3035526751901</v>
          </cell>
          <cell r="F733">
            <v>2011.59434530831</v>
          </cell>
          <cell r="G733">
            <v>1472.28355173204</v>
          </cell>
          <cell r="H733">
            <v>917.80751855723497</v>
          </cell>
          <cell r="I733">
            <v>389.98420063097598</v>
          </cell>
        </row>
        <row r="734">
          <cell r="A734" t="str">
            <v>D-SLFO</v>
          </cell>
          <cell r="B734" t="str">
            <v>VAR_fout</v>
          </cell>
          <cell r="C734" t="str">
            <v>SLFO</v>
          </cell>
          <cell r="D734">
            <v>30.256634199787158</v>
          </cell>
          <cell r="E734">
            <v>27.088129134858487</v>
          </cell>
          <cell r="F734">
            <v>26.838598004878641</v>
          </cell>
          <cell r="G734">
            <v>19.643117686243265</v>
          </cell>
          <cell r="H734">
            <v>12.245389667935214</v>
          </cell>
          <cell r="I734">
            <v>5.2031954311528414</v>
          </cell>
        </row>
        <row r="735">
          <cell r="A735" t="str">
            <v>D-SLFO</v>
          </cell>
          <cell r="B735" t="str">
            <v>VAR_fin</v>
          </cell>
          <cell r="C735" t="str">
            <v>LFO</v>
          </cell>
          <cell r="D735">
            <v>30.770538044982221</v>
          </cell>
          <cell r="E735">
            <v>27.548216454208831</v>
          </cell>
          <cell r="F735">
            <v>27.29436018057412</v>
          </cell>
          <cell r="G735">
            <v>19.976710335577241</v>
          </cell>
          <cell r="H735">
            <v>12.453290618144296</v>
          </cell>
          <cell r="I735">
            <v>5.2915088281000813</v>
          </cell>
        </row>
        <row r="736">
          <cell r="A736" t="str">
            <v>D-SLFO</v>
          </cell>
          <cell r="B736" t="str">
            <v>VAR_fin</v>
          </cell>
          <cell r="C736" t="str">
            <v>BDS</v>
          </cell>
          <cell r="F736">
            <v>8.6921910819566745E-5</v>
          </cell>
          <cell r="G736">
            <v>4.2402202924818725E-5</v>
          </cell>
          <cell r="H736">
            <v>8.4934628951119291E-5</v>
          </cell>
          <cell r="I736">
            <v>6.2282186642801377E-5</v>
          </cell>
        </row>
        <row r="737">
          <cell r="A737" t="str">
            <v>D-RCOA</v>
          </cell>
          <cell r="B737" t="str">
            <v>VAR_fout</v>
          </cell>
          <cell r="C737" t="str">
            <v>CO2</v>
          </cell>
          <cell r="D737">
            <v>9.27002383197431</v>
          </cell>
          <cell r="E737">
            <v>9.2700116423689494</v>
          </cell>
          <cell r="F737">
            <v>2.4985298449806099</v>
          </cell>
          <cell r="G737">
            <v>0.56189103066610602</v>
          </cell>
        </row>
        <row r="738">
          <cell r="A738" t="str">
            <v>D-RCOA</v>
          </cell>
          <cell r="B738" t="str">
            <v>VAR_fout</v>
          </cell>
          <cell r="C738" t="str">
            <v>RCOA</v>
          </cell>
          <cell r="D738">
            <v>0.10000025708710156</v>
          </cell>
          <cell r="E738">
            <v>0.10000012559189816</v>
          </cell>
          <cell r="F738">
            <v>2.6952857011657113E-2</v>
          </cell>
          <cell r="G738">
            <v>6.0613919165707179E-3</v>
          </cell>
        </row>
        <row r="739">
          <cell r="A739" t="str">
            <v>D-RCOA</v>
          </cell>
          <cell r="B739" t="str">
            <v>VAR_fin</v>
          </cell>
          <cell r="C739" t="str">
            <v>COA</v>
          </cell>
          <cell r="D739">
            <v>0.10000025708710156</v>
          </cell>
          <cell r="E739">
            <v>0.10000012559189816</v>
          </cell>
          <cell r="F739">
            <v>2.6952857011657113E-2</v>
          </cell>
          <cell r="G739">
            <v>6.0613919165707179E-3</v>
          </cell>
        </row>
        <row r="740">
          <cell r="A740" t="str">
            <v>D-RHEM_KEV_WOD_ELC_CHP</v>
          </cell>
          <cell r="B740" t="str">
            <v>VAR_fout</v>
          </cell>
          <cell r="C740" t="str">
            <v>ELC5</v>
          </cell>
          <cell r="G740">
            <v>2.7723050616195773E-4</v>
          </cell>
          <cell r="H740">
            <v>2.3607041441083769E-4</v>
          </cell>
          <cell r="I740">
            <v>1.3026374192339569E-4</v>
          </cell>
        </row>
        <row r="741">
          <cell r="A741" t="str">
            <v>D-RHEM_KEV_WOD_ELC_CHP</v>
          </cell>
          <cell r="B741" t="str">
            <v>VAR_fout</v>
          </cell>
          <cell r="C741" t="str">
            <v>RHEM_ELC</v>
          </cell>
          <cell r="G741">
            <v>2.7708268047441613E-4</v>
          </cell>
          <cell r="H741">
            <v>2.3597322163361538E-4</v>
          </cell>
          <cell r="I741">
            <v>1.3020392703426469E-4</v>
          </cell>
        </row>
        <row r="742">
          <cell r="A742" t="str">
            <v>D-RHEM_KEV_WOD_ELC_CHP</v>
          </cell>
          <cell r="B742" t="str">
            <v>VAR_fin</v>
          </cell>
          <cell r="C742" t="str">
            <v>RHEM_KEV_WOD_ELC_CHP</v>
          </cell>
          <cell r="G742">
            <v>5.5121393025908281E-4</v>
          </cell>
          <cell r="H742">
            <v>4.6788598460720607E-4</v>
          </cell>
          <cell r="I742">
            <v>2.5726335152195817E-4</v>
          </cell>
        </row>
        <row r="743">
          <cell r="A743" t="str">
            <v>RHES-SHSTG-SOL</v>
          </cell>
          <cell r="B743" t="str">
            <v>VAR_fout</v>
          </cell>
          <cell r="C743" t="str">
            <v>RHES-SHASOL</v>
          </cell>
          <cell r="D743">
            <v>9.7948507613865981E-6</v>
          </cell>
          <cell r="E743">
            <v>1.519230199189196E-6</v>
          </cell>
          <cell r="F743">
            <v>1.427694213291478E-3</v>
          </cell>
          <cell r="G743">
            <v>8.5641182125780109E-4</v>
          </cell>
          <cell r="H743">
            <v>1.859878974790882E-3</v>
          </cell>
          <cell r="I743">
            <v>1.0899954453024655E-3</v>
          </cell>
        </row>
        <row r="744">
          <cell r="A744" t="str">
            <v>RHES-SHSTG-SOL</v>
          </cell>
          <cell r="B744" t="str">
            <v>VAR_fin</v>
          </cell>
          <cell r="C744" t="str">
            <v>RHES-SHASOL</v>
          </cell>
          <cell r="D744">
            <v>1.1772612753765421E-7</v>
          </cell>
          <cell r="E744">
            <v>1.339691549420324E-6</v>
          </cell>
          <cell r="F744">
            <v>1.4269128435181249E-3</v>
          </cell>
          <cell r="G744">
            <v>8.5486782797557345E-4</v>
          </cell>
          <cell r="H744">
            <v>1.8597153952124672E-3</v>
          </cell>
          <cell r="I744">
            <v>1.0898273075298345E-3</v>
          </cell>
        </row>
        <row r="745">
          <cell r="A745" t="str">
            <v>RHES-SHSTG-SOL</v>
          </cell>
          <cell r="B745" t="str">
            <v>VAR_ncap</v>
          </cell>
          <cell r="C745" t="str">
            <v>-</v>
          </cell>
          <cell r="D745">
            <v>9.8278678487234202E-3</v>
          </cell>
          <cell r="E745">
            <v>1.3333837786924901E-3</v>
          </cell>
          <cell r="F745">
            <v>6.5067488310826806E-8</v>
          </cell>
          <cell r="G745">
            <v>9.5094566100570597E-8</v>
          </cell>
          <cell r="H745">
            <v>6.5302704174463198E-4</v>
          </cell>
          <cell r="I745">
            <v>2.1762429598925299E-4</v>
          </cell>
        </row>
        <row r="746">
          <cell r="A746" t="str">
            <v>RHES-SHSTG-SOL</v>
          </cell>
          <cell r="B746" t="str">
            <v>VAR_cap</v>
          </cell>
          <cell r="C746" t="str">
            <v>-</v>
          </cell>
          <cell r="D746">
            <v>9.8278678487234202E-3</v>
          </cell>
          <cell r="E746">
            <v>1.1161251627415899E-2</v>
          </cell>
          <cell r="F746">
            <v>1.1161316694904199E-2</v>
          </cell>
          <cell r="G746">
            <v>1.1161411789470299E-2</v>
          </cell>
          <cell r="H746">
            <v>6.7653154759068598E-4</v>
          </cell>
          <cell r="I746">
            <v>7.0145784469612799E-4</v>
          </cell>
        </row>
        <row r="747">
          <cell r="A747" t="str">
            <v>D-ITOT_LTH</v>
          </cell>
          <cell r="B747" t="str">
            <v>VAR_fout</v>
          </cell>
          <cell r="C747" t="str">
            <v>ITOT_LTH_DH</v>
          </cell>
          <cell r="D747">
            <v>7.1200062969018081</v>
          </cell>
          <cell r="E747">
            <v>7.6289086471411247</v>
          </cell>
          <cell r="F747">
            <v>7.3667575989288867</v>
          </cell>
          <cell r="G747">
            <v>8.412900997020218</v>
          </cell>
          <cell r="H747">
            <v>10.199634535212882</v>
          </cell>
          <cell r="I747">
            <v>12.012363293733905</v>
          </cell>
        </row>
        <row r="748">
          <cell r="A748" t="str">
            <v>D-ITOT_LTH</v>
          </cell>
          <cell r="B748" t="str">
            <v>VAR_fin</v>
          </cell>
          <cell r="C748" t="str">
            <v>LTH</v>
          </cell>
          <cell r="D748">
            <v>7.7403425360671569</v>
          </cell>
          <cell r="E748">
            <v>8.2914037563185961</v>
          </cell>
          <cell r="F748">
            <v>8.0033324288590659</v>
          </cell>
          <cell r="G748">
            <v>9.1338760997275426</v>
          </cell>
          <cell r="H748">
            <v>11.059213255930862</v>
          </cell>
          <cell r="I748">
            <v>13.007658019493293</v>
          </cell>
        </row>
        <row r="749">
          <cell r="A749" t="str">
            <v>D-ITOT_LTH</v>
          </cell>
          <cell r="B749" t="str">
            <v>VAR_ncap</v>
          </cell>
          <cell r="C749" t="str">
            <v>-</v>
          </cell>
          <cell r="D749">
            <v>0.79547235716372899</v>
          </cell>
          <cell r="E749">
            <v>1.7068575698225199E-8</v>
          </cell>
          <cell r="F749">
            <v>1.94516682357539E-8</v>
          </cell>
          <cell r="G749">
            <v>2.2347461347756999E-8</v>
          </cell>
          <cell r="H749">
            <v>4.1257499357470701E-8</v>
          </cell>
          <cell r="I749">
            <v>5.1849612098882401E-8</v>
          </cell>
        </row>
        <row r="750">
          <cell r="A750" t="str">
            <v>D-ITOT_LTH</v>
          </cell>
          <cell r="B750" t="str">
            <v>VAR_cap</v>
          </cell>
          <cell r="C750" t="str">
            <v>-</v>
          </cell>
          <cell r="D750">
            <v>0.79547235716372899</v>
          </cell>
          <cell r="E750">
            <v>0.79547237423230499</v>
          </cell>
          <cell r="F750">
            <v>0.79547239368397304</v>
          </cell>
          <cell r="G750">
            <v>0.79547241603143504</v>
          </cell>
          <cell r="H750">
            <v>0.79547249614641002</v>
          </cell>
          <cell r="I750">
            <v>0.79547254799602196</v>
          </cell>
        </row>
        <row r="751">
          <cell r="A751" t="str">
            <v>D-IH2</v>
          </cell>
          <cell r="B751" t="str">
            <v>VAR_fout</v>
          </cell>
          <cell r="C751" t="str">
            <v>IH2</v>
          </cell>
          <cell r="G751">
            <v>7.2565176354873653E-2</v>
          </cell>
          <cell r="H751">
            <v>0.58882568741350894</v>
          </cell>
          <cell r="I751">
            <v>1.3900536889635682</v>
          </cell>
        </row>
        <row r="752">
          <cell r="A752" t="str">
            <v>D-IH2</v>
          </cell>
          <cell r="B752" t="str">
            <v>VAR_fin</v>
          </cell>
          <cell r="C752" t="str">
            <v>H2</v>
          </cell>
          <cell r="G752">
            <v>7.3118006024965362E-2</v>
          </cell>
          <cell r="H752">
            <v>0.59331158997539879</v>
          </cell>
          <cell r="I752">
            <v>1.4006436573324348</v>
          </cell>
        </row>
        <row r="753">
          <cell r="A753" t="str">
            <v>D-IH2</v>
          </cell>
          <cell r="B753" t="str">
            <v>VAR_ncap</v>
          </cell>
          <cell r="C753" t="str">
            <v>-</v>
          </cell>
          <cell r="G753">
            <v>4.2975474051232098E-3</v>
          </cell>
          <cell r="H753">
            <v>1.8097250234418199E-2</v>
          </cell>
          <cell r="I753">
            <v>4.8024067434276799E-2</v>
          </cell>
        </row>
        <row r="754">
          <cell r="A754" t="str">
            <v>D-IH2</v>
          </cell>
          <cell r="B754" t="str">
            <v>VAR_cap</v>
          </cell>
          <cell r="C754" t="str">
            <v>-</v>
          </cell>
          <cell r="G754">
            <v>4.2975474051232098E-3</v>
          </cell>
          <cell r="H754">
            <v>3.4375044601040197E-2</v>
          </cell>
          <cell r="I754">
            <v>8.2399112035316996E-2</v>
          </cell>
        </row>
        <row r="755">
          <cell r="A755" t="str">
            <v>D-RHNM_LTH_CHPWOD</v>
          </cell>
          <cell r="B755" t="str">
            <v>VAR_fout</v>
          </cell>
          <cell r="C755" t="str">
            <v>RHNM_LTH_CHPWOD_ON</v>
          </cell>
          <cell r="D755">
            <v>8.6476026472917876E-6</v>
          </cell>
          <cell r="E755">
            <v>3.4088726436175599E-6</v>
          </cell>
          <cell r="F755">
            <v>8.1510287495215978E-7</v>
          </cell>
          <cell r="H755">
            <v>2.2412571845060639E-4</v>
          </cell>
        </row>
        <row r="756">
          <cell r="A756" t="str">
            <v>D-RHNM_LTH_CHPWOD</v>
          </cell>
          <cell r="B756" t="str">
            <v>VAR_fout</v>
          </cell>
          <cell r="C756" t="str">
            <v>RHSA_LTH</v>
          </cell>
          <cell r="D756">
            <v>2.7883609462742645E-6</v>
          </cell>
          <cell r="E756">
            <v>9.5080079182215944E-6</v>
          </cell>
          <cell r="F756">
            <v>5.0249178829149737E-6</v>
          </cell>
          <cell r="G756">
            <v>1.4828308906163583E-3</v>
          </cell>
          <cell r="H756">
            <v>5.203942606993977E-4</v>
          </cell>
          <cell r="I756">
            <v>3.782423968860745E-4</v>
          </cell>
        </row>
        <row r="757">
          <cell r="A757" t="str">
            <v>D-RHNM_LTH_CHPWOD</v>
          </cell>
          <cell r="B757" t="str">
            <v>VAR_fin</v>
          </cell>
          <cell r="C757" t="str">
            <v>RHNM_LTH_CHPWOD</v>
          </cell>
          <cell r="D757">
            <v>1.1435963593566058E-5</v>
          </cell>
          <cell r="E757">
            <v>1.3207917795847682E-5</v>
          </cell>
          <cell r="F757">
            <v>6.1273090909658297E-6</v>
          </cell>
          <cell r="G757">
            <v>1.4837827888171445E-3</v>
          </cell>
          <cell r="H757">
            <v>7.4550537518890722E-4</v>
          </cell>
          <cell r="I757">
            <v>3.7900655367026977E-4</v>
          </cell>
        </row>
        <row r="758">
          <cell r="A758" t="str">
            <v>RHNS-SHWODBR</v>
          </cell>
          <cell r="B758" t="str">
            <v>VAR_fout</v>
          </cell>
          <cell r="C758" t="str">
            <v>RHNS-SHWOD</v>
          </cell>
          <cell r="E758">
            <v>2.6568780698607627E-2</v>
          </cell>
          <cell r="F758">
            <v>5.3832678449476701E-2</v>
          </cell>
          <cell r="G758">
            <v>0.10379807432543348</v>
          </cell>
          <cell r="H758">
            <v>0.16708275445767137</v>
          </cell>
          <cell r="I758">
            <v>0.21010438025813108</v>
          </cell>
        </row>
        <row r="759">
          <cell r="A759" t="str">
            <v>RHNS-SHWODBR</v>
          </cell>
          <cell r="B759" t="str">
            <v>VAR_fin</v>
          </cell>
          <cell r="C759" t="str">
            <v>RHNSWODBRC</v>
          </cell>
          <cell r="E759">
            <v>2.6568780698607627E-2</v>
          </cell>
          <cell r="F759">
            <v>5.3832678449476701E-2</v>
          </cell>
          <cell r="G759">
            <v>0.10379807432543348</v>
          </cell>
          <cell r="H759">
            <v>0.16708275445767137</v>
          </cell>
          <cell r="I759">
            <v>0.21010438025813108</v>
          </cell>
        </row>
        <row r="760">
          <cell r="A760" t="str">
            <v>RHNS-SHWODBR</v>
          </cell>
          <cell r="B760" t="str">
            <v>VAR_fin</v>
          </cell>
          <cell r="C760" t="str">
            <v>RWOD</v>
          </cell>
          <cell r="E760">
            <v>3.6901084303621712E-2</v>
          </cell>
          <cell r="F760">
            <v>7.2447079327076655E-2</v>
          </cell>
          <cell r="G760">
            <v>0.13913701354747243</v>
          </cell>
          <cell r="H760">
            <v>0.2229737040417159</v>
          </cell>
          <cell r="I760">
            <v>0.28019408670002499</v>
          </cell>
        </row>
        <row r="761">
          <cell r="A761" t="str">
            <v>RHNS-SHWODBR</v>
          </cell>
          <cell r="B761" t="str">
            <v>VAR_ncap</v>
          </cell>
          <cell r="C761" t="str">
            <v>-</v>
          </cell>
          <cell r="E761">
            <v>3.0392032718177899E-3</v>
          </cell>
          <cell r="F761">
            <v>4.5334798116374603E-3</v>
          </cell>
        </row>
        <row r="762">
          <cell r="A762" t="str">
            <v>RHNS-SHWODBR</v>
          </cell>
          <cell r="B762" t="str">
            <v>VAR_cap</v>
          </cell>
          <cell r="C762" t="str">
            <v>-</v>
          </cell>
          <cell r="E762">
            <v>3.0392032718177899E-3</v>
          </cell>
          <cell r="F762">
            <v>7.5725895558363902E-3</v>
          </cell>
          <cell r="G762">
            <v>7.5725864784275997E-3</v>
          </cell>
          <cell r="H762">
            <v>3.6197891930300853E-2</v>
          </cell>
          <cell r="I762">
            <v>1.5310747875648833E-2</v>
          </cell>
        </row>
        <row r="763">
          <cell r="A763" t="str">
            <v>D-RHNM_NKEV_GAS_ELC_CHP</v>
          </cell>
          <cell r="B763" t="str">
            <v>VAR_fout</v>
          </cell>
          <cell r="C763" t="str">
            <v>ELC5</v>
          </cell>
          <cell r="E763">
            <v>6.0921159354972989E-4</v>
          </cell>
          <cell r="F763">
            <v>4.5861171281683945E-4</v>
          </cell>
          <cell r="G763">
            <v>5.5528782232019742E-2</v>
          </cell>
          <cell r="H763">
            <v>0.93601786983844415</v>
          </cell>
          <cell r="I763">
            <v>0.84344313565242846</v>
          </cell>
        </row>
        <row r="764">
          <cell r="A764" t="str">
            <v>D-RHNM_NKEV_GAS_ELC_CHP</v>
          </cell>
          <cell r="B764" t="str">
            <v>VAR_fout</v>
          </cell>
          <cell r="C764" t="str">
            <v>RHNM_ELC</v>
          </cell>
          <cell r="E764">
            <v>6.0918345262549591E-4</v>
          </cell>
          <cell r="F764">
            <v>4.5808949493231942E-4</v>
          </cell>
          <cell r="G764">
            <v>5.5364851689976444E-2</v>
          </cell>
          <cell r="H764">
            <v>0.8894611415542315</v>
          </cell>
          <cell r="I764">
            <v>0.80487043605306852</v>
          </cell>
        </row>
        <row r="765">
          <cell r="A765" t="str">
            <v>D-RHNM_NKEV_GAS_ELC_CHP</v>
          </cell>
          <cell r="B765" t="str">
            <v>VAR_fin</v>
          </cell>
          <cell r="C765" t="str">
            <v>RHNM_NKEV_GAS_ELC_CHP</v>
          </cell>
          <cell r="E765">
            <v>1.2183950461752263E-3</v>
          </cell>
          <cell r="F765">
            <v>9.1489627426537853E-4</v>
          </cell>
          <cell r="G765">
            <v>0.11089363392199626</v>
          </cell>
          <cell r="H765">
            <v>1.8254790113926762</v>
          </cell>
          <cell r="I765">
            <v>1.6483135717054975</v>
          </cell>
        </row>
        <row r="766">
          <cell r="A766" t="str">
            <v>D-RLFO</v>
          </cell>
          <cell r="B766" t="str">
            <v>VAR_fout</v>
          </cell>
          <cell r="C766" t="str">
            <v>CO2</v>
          </cell>
          <cell r="D766">
            <v>4514.4824243991197</v>
          </cell>
          <cell r="E766">
            <v>3846.5256430904701</v>
          </cell>
          <cell r="F766">
            <v>3759.02184530365</v>
          </cell>
          <cell r="G766">
            <v>2459.9452613243502</v>
          </cell>
          <cell r="H766">
            <v>1305.95849287279</v>
          </cell>
          <cell r="I766">
            <v>429.479741625636</v>
          </cell>
        </row>
        <row r="767">
          <cell r="A767" t="str">
            <v>D-RLFO</v>
          </cell>
          <cell r="B767" t="str">
            <v>VAR_fout</v>
          </cell>
          <cell r="C767" t="str">
            <v>RLFO</v>
          </cell>
          <cell r="D767">
            <v>60.231822344023747</v>
          </cell>
          <cell r="E767">
            <v>51.320002471201079</v>
          </cell>
          <cell r="F767">
            <v>50.152620247942089</v>
          </cell>
          <cell r="G767">
            <v>32.820412576821269</v>
          </cell>
          <cell r="H767">
            <v>17.424065854459247</v>
          </cell>
          <cell r="I767">
            <v>5.7301417538678239</v>
          </cell>
        </row>
        <row r="768">
          <cell r="A768" t="str">
            <v>D-RLFO</v>
          </cell>
          <cell r="B768" t="str">
            <v>VAR_fin</v>
          </cell>
          <cell r="C768" t="str">
            <v>LFO</v>
          </cell>
          <cell r="D768">
            <v>61.254849720476543</v>
          </cell>
          <cell r="E768">
            <v>52.191664085352329</v>
          </cell>
          <cell r="F768">
            <v>51.004366964771322</v>
          </cell>
          <cell r="G768">
            <v>33.377819013898893</v>
          </cell>
          <cell r="H768">
            <v>17.719925276428622</v>
          </cell>
          <cell r="I768">
            <v>5.8274049067250475</v>
          </cell>
        </row>
        <row r="769">
          <cell r="A769" t="str">
            <v>D-RLFO</v>
          </cell>
          <cell r="B769" t="str">
            <v>VAR_fin</v>
          </cell>
          <cell r="C769" t="str">
            <v>BDS</v>
          </cell>
          <cell r="F769">
            <v>8.714122485598634E-5</v>
          </cell>
          <cell r="G769">
            <v>4.2752833779816775E-5</v>
          </cell>
          <cell r="H769">
            <v>8.5407267490576107E-5</v>
          </cell>
          <cell r="I769">
            <v>6.2350205541586109E-5</v>
          </cell>
        </row>
        <row r="770">
          <cell r="A770" t="str">
            <v>D-SCOM_LTH_CHPBIO</v>
          </cell>
          <cell r="B770" t="str">
            <v>VAR_fout</v>
          </cell>
          <cell r="C770" t="str">
            <v>SCOM_LTH_CHPBIO_ON</v>
          </cell>
          <cell r="D770">
            <v>1.4243089544379175</v>
          </cell>
          <cell r="E770">
            <v>1.5427982988144886</v>
          </cell>
        </row>
        <row r="771">
          <cell r="A771" t="str">
            <v>D-SCOM_LTH_CHPBIO</v>
          </cell>
          <cell r="B771" t="str">
            <v>VAR_fout</v>
          </cell>
          <cell r="C771" t="str">
            <v>LTH</v>
          </cell>
          <cell r="E771">
            <v>3.5521103798055856E-2</v>
          </cell>
        </row>
        <row r="772">
          <cell r="A772" t="str">
            <v>D-SCOM_LTH_CHPBIO</v>
          </cell>
          <cell r="B772" t="str">
            <v>VAR_fin</v>
          </cell>
          <cell r="C772" t="str">
            <v>SCOM_LTH_CHPBIO</v>
          </cell>
          <cell r="D772">
            <v>1.4243089544379175</v>
          </cell>
          <cell r="E772">
            <v>1.5783194026125438</v>
          </cell>
        </row>
        <row r="773">
          <cell r="A773" t="str">
            <v>D-SCOM_NKEV_GAS_ELC_CHP</v>
          </cell>
          <cell r="B773" t="str">
            <v>VAR_fout</v>
          </cell>
          <cell r="C773" t="str">
            <v>ELC5</v>
          </cell>
          <cell r="D773">
            <v>0.21647273538386944</v>
          </cell>
          <cell r="E773">
            <v>0.31212795064405235</v>
          </cell>
          <cell r="F773">
            <v>5.3971922153954474E-3</v>
          </cell>
          <cell r="G773">
            <v>5.4889804588897431E-3</v>
          </cell>
          <cell r="H773">
            <v>1.6157458389248387E-2</v>
          </cell>
          <cell r="I773">
            <v>3.5218474286891461E-3</v>
          </cell>
        </row>
        <row r="774">
          <cell r="A774" t="str">
            <v>D-SCOM_NKEV_GAS_ELC_CHP</v>
          </cell>
          <cell r="B774" t="str">
            <v>VAR_fout</v>
          </cell>
          <cell r="C774" t="str">
            <v>SCOM_ELC</v>
          </cell>
          <cell r="D774">
            <v>0.37792727778136859</v>
          </cell>
          <cell r="E774">
            <v>0.31375015690413705</v>
          </cell>
          <cell r="F774">
            <v>5.3944997255357769E-3</v>
          </cell>
          <cell r="G774">
            <v>5.4847016060601264E-3</v>
          </cell>
          <cell r="H774">
            <v>1.6186009856489339E-2</v>
          </cell>
          <cell r="I774">
            <v>3.5202028169199879E-3</v>
          </cell>
        </row>
        <row r="775">
          <cell r="A775" t="str">
            <v>D-SCOM_NKEV_GAS_ELC_CHP</v>
          </cell>
          <cell r="B775" t="str">
            <v>VAR_fin</v>
          </cell>
          <cell r="C775" t="str">
            <v>SCOM_NKEV_GAS_ELC_CHP</v>
          </cell>
          <cell r="D775">
            <v>0.59440001316523805</v>
          </cell>
          <cell r="E775">
            <v>0.62587810754818929</v>
          </cell>
          <cell r="F775">
            <v>1.0789271694399341E-2</v>
          </cell>
          <cell r="G775">
            <v>1.0973682064949879E-2</v>
          </cell>
          <cell r="H775">
            <v>3.2343468245737701E-2</v>
          </cell>
          <cell r="I775">
            <v>7.0420502456091331E-3</v>
          </cell>
        </row>
        <row r="776">
          <cell r="A776" t="str">
            <v>RHEM-SHLTHDH</v>
          </cell>
          <cell r="B776" t="str">
            <v>VAR_fout</v>
          </cell>
          <cell r="C776" t="str">
            <v>RHEM-SHLTHD</v>
          </cell>
          <cell r="D776">
            <v>3.4023903137465585</v>
          </cell>
          <cell r="E776">
            <v>3.7887358593425766</v>
          </cell>
          <cell r="F776">
            <v>4.3783993616959078</v>
          </cell>
          <cell r="G776">
            <v>4.796174539847315</v>
          </cell>
          <cell r="H776">
            <v>4.8369244027467913</v>
          </cell>
          <cell r="I776">
            <v>4.7525081447299842</v>
          </cell>
        </row>
        <row r="777">
          <cell r="A777" t="str">
            <v>RHEM-SHLTHDH</v>
          </cell>
          <cell r="B777" t="str">
            <v>VAR_fin</v>
          </cell>
          <cell r="C777" t="str">
            <v>RHEMLTHDHC</v>
          </cell>
          <cell r="D777">
            <v>3.4023903137465585</v>
          </cell>
          <cell r="E777">
            <v>3.7887358593425766</v>
          </cell>
          <cell r="F777">
            <v>4.3783993616959078</v>
          </cell>
          <cell r="G777">
            <v>4.796174539847315</v>
          </cell>
          <cell r="H777">
            <v>4.8369244027467913</v>
          </cell>
          <cell r="I777">
            <v>4.7525081447299842</v>
          </cell>
        </row>
        <row r="778">
          <cell r="A778" t="str">
            <v>RHEM-SHLTHDH</v>
          </cell>
          <cell r="B778" t="str">
            <v>VAR_fin</v>
          </cell>
          <cell r="C778" t="str">
            <v>RHEM_LTH_DH</v>
          </cell>
          <cell r="D778">
            <v>3.4367578926732878</v>
          </cell>
          <cell r="E778">
            <v>3.8270059185278527</v>
          </cell>
          <cell r="F778">
            <v>4.9056511098443973</v>
          </cell>
          <cell r="G778">
            <v>5.3419160793488638</v>
          </cell>
          <cell r="H778">
            <v>5.3562702411108036</v>
          </cell>
          <cell r="I778">
            <v>5.2226595534220008</v>
          </cell>
        </row>
        <row r="779">
          <cell r="A779" t="str">
            <v>RHEM-SHLTHDH</v>
          </cell>
          <cell r="B779" t="str">
            <v>VAR_ncap</v>
          </cell>
          <cell r="C779" t="str">
            <v>-</v>
          </cell>
          <cell r="D779">
            <v>1.1859913917670499E-8</v>
          </cell>
          <cell r="E779">
            <v>1.48293880205805E-2</v>
          </cell>
          <cell r="F779">
            <v>0.139354543286418</v>
          </cell>
          <cell r="G779">
            <v>3.20850282984462E-2</v>
          </cell>
          <cell r="H779">
            <v>1.8683681771127999E-2</v>
          </cell>
          <cell r="I779">
            <v>7.0864373380752702E-2</v>
          </cell>
        </row>
        <row r="780">
          <cell r="A780" t="str">
            <v>RHEM-SHLTHDH</v>
          </cell>
          <cell r="B780" t="str">
            <v>VAR_cap</v>
          </cell>
          <cell r="C780" t="str">
            <v>-</v>
          </cell>
          <cell r="D780">
            <v>0.31562547897160192</v>
          </cell>
          <cell r="E780">
            <v>0.27695821183376701</v>
          </cell>
          <cell r="F780">
            <v>0.4115591047244781</v>
          </cell>
          <cell r="G780">
            <v>0.43233429020770947</v>
          </cell>
          <cell r="H780">
            <v>0.37952089537556699</v>
          </cell>
          <cell r="I780">
            <v>0.43089550152538092</v>
          </cell>
        </row>
        <row r="781">
          <cell r="A781" t="str">
            <v>D-ITOT_SOLELC</v>
          </cell>
          <cell r="B781" t="str">
            <v>VAR_fout</v>
          </cell>
          <cell r="C781" t="str">
            <v>ITOT_ELC</v>
          </cell>
          <cell r="D781">
            <v>3.5169596170433017</v>
          </cell>
          <cell r="E781">
            <v>4.8491978388971617</v>
          </cell>
          <cell r="F781">
            <v>9.5940556991659669</v>
          </cell>
          <cell r="G781">
            <v>11.15695093991655</v>
          </cell>
          <cell r="H781">
            <v>21.275861460258163</v>
          </cell>
          <cell r="I781">
            <v>34.545247879156697</v>
          </cell>
        </row>
        <row r="782">
          <cell r="A782" t="str">
            <v>D-ITOT_SOLELC</v>
          </cell>
          <cell r="B782" t="str">
            <v>VAR_fout</v>
          </cell>
          <cell r="C782" t="str">
            <v>ELC5</v>
          </cell>
          <cell r="D782">
            <v>9.9438266422881044E-4</v>
          </cell>
          <cell r="E782">
            <v>6.3801207401627746E-4</v>
          </cell>
          <cell r="F782">
            <v>4.4775078286449904E-4</v>
          </cell>
          <cell r="G782">
            <v>2.4473832761639412E-4</v>
          </cell>
          <cell r="H782">
            <v>1.9737712442927675</v>
          </cell>
          <cell r="I782">
            <v>18.396393505845754</v>
          </cell>
        </row>
        <row r="783">
          <cell r="A783" t="str">
            <v>D-ITOT_SOLELC</v>
          </cell>
          <cell r="B783" t="str">
            <v>VAR_fin</v>
          </cell>
          <cell r="C783" t="str">
            <v>ITOT_SOL_ELC</v>
          </cell>
          <cell r="D783">
            <v>3.517953999707534</v>
          </cell>
          <cell r="E783">
            <v>4.8498358001498492</v>
          </cell>
          <cell r="F783">
            <v>9.5945034499488386</v>
          </cell>
          <cell r="G783">
            <v>11.157193467520752</v>
          </cell>
          <cell r="H783">
            <v>23.249616601369251</v>
          </cell>
          <cell r="I783">
            <v>52.941630400731988</v>
          </cell>
        </row>
        <row r="784">
          <cell r="A784" t="str">
            <v>D-SWOD</v>
          </cell>
          <cell r="B784" t="str">
            <v>VAR_fout</v>
          </cell>
          <cell r="C784" t="str">
            <v>SWOD</v>
          </cell>
          <cell r="D784">
            <v>8.5743683011800709</v>
          </cell>
          <cell r="E784">
            <v>9.3211780743224981</v>
          </cell>
          <cell r="F784">
            <v>9.4935217103454388</v>
          </cell>
          <cell r="G784">
            <v>9.8939723492258622</v>
          </cell>
          <cell r="H784">
            <v>9.4771270467786231</v>
          </cell>
          <cell r="I784">
            <v>9.2927578822917933</v>
          </cell>
        </row>
        <row r="785">
          <cell r="A785" t="str">
            <v>D-SWOD</v>
          </cell>
          <cell r="B785" t="str">
            <v>VAR_fin</v>
          </cell>
          <cell r="C785" t="str">
            <v>WOD</v>
          </cell>
          <cell r="D785">
            <v>8.5743683011800709</v>
          </cell>
          <cell r="E785">
            <v>9.3211780743224981</v>
          </cell>
          <cell r="F785">
            <v>9.4935217103454388</v>
          </cell>
          <cell r="G785">
            <v>9.8939723492258622</v>
          </cell>
          <cell r="H785">
            <v>9.4771270467786231</v>
          </cell>
          <cell r="I785">
            <v>9.2927578822917933</v>
          </cell>
        </row>
        <row r="786">
          <cell r="A786" t="str">
            <v>D-RSH2R</v>
          </cell>
          <cell r="B786" t="str">
            <v>VAR_fout</v>
          </cell>
          <cell r="C786" t="str">
            <v>RSH2</v>
          </cell>
          <cell r="G786">
            <v>4.3370873311923225E-4</v>
          </cell>
          <cell r="H786">
            <v>4.9075415103794608E-4</v>
          </cell>
          <cell r="I786">
            <v>2.3745674733418725E-4</v>
          </cell>
        </row>
        <row r="787">
          <cell r="A787" t="str">
            <v>D-RSH2R</v>
          </cell>
          <cell r="B787" t="str">
            <v>VAR_fin</v>
          </cell>
          <cell r="C787" t="str">
            <v>H2</v>
          </cell>
          <cell r="G787">
            <v>4.3370873311923225E-4</v>
          </cell>
          <cell r="H787">
            <v>4.9075415103794608E-4</v>
          </cell>
          <cell r="I787">
            <v>2.3745674733418725E-4</v>
          </cell>
        </row>
        <row r="788">
          <cell r="A788" t="str">
            <v>D-RSH2R</v>
          </cell>
          <cell r="B788" t="str">
            <v>VAR_ncap</v>
          </cell>
          <cell r="C788" t="str">
            <v>-</v>
          </cell>
          <cell r="G788">
            <v>3.03835698877285E-5</v>
          </cell>
          <cell r="H788">
            <v>4.0696621998380703E-5</v>
          </cell>
          <cell r="I788">
            <v>1.1062705658809099E-5</v>
          </cell>
        </row>
        <row r="789">
          <cell r="A789" t="str">
            <v>D-RSH2R</v>
          </cell>
          <cell r="B789" t="str">
            <v>VAR_cap</v>
          </cell>
          <cell r="C789" t="str">
            <v>-</v>
          </cell>
          <cell r="G789">
            <v>3.03835698877285E-5</v>
          </cell>
          <cell r="H789">
            <v>4.3791192744605E-5</v>
          </cell>
          <cell r="I789">
            <v>2.5002163363977699E-5</v>
          </cell>
        </row>
        <row r="790">
          <cell r="A790" t="str">
            <v>SCOM-SHLTHCHPBIO</v>
          </cell>
          <cell r="B790" t="str">
            <v>VAR_fout</v>
          </cell>
          <cell r="C790" t="str">
            <v>SCOM-SHLTHC-BIO</v>
          </cell>
          <cell r="D790">
            <v>1.4100658648935389</v>
          </cell>
          <cell r="E790">
            <v>1.5273703158263434</v>
          </cell>
        </row>
        <row r="791">
          <cell r="A791" t="str">
            <v>SCOM-SHLTHCHPBIO</v>
          </cell>
          <cell r="B791" t="str">
            <v>VAR_fin</v>
          </cell>
          <cell r="C791" t="str">
            <v>SCOM_LTH_CHPBIO_ON</v>
          </cell>
          <cell r="D791">
            <v>1.4243089544379175</v>
          </cell>
          <cell r="E791">
            <v>1.5427982988144886</v>
          </cell>
        </row>
        <row r="792">
          <cell r="A792" t="str">
            <v>SCOM-SHLTHCHPBIO</v>
          </cell>
          <cell r="B792" t="str">
            <v>VAR_fin</v>
          </cell>
          <cell r="C792" t="str">
            <v>SCOMLTHCHPC</v>
          </cell>
          <cell r="D792">
            <v>1.4100658648935389</v>
          </cell>
          <cell r="E792">
            <v>1.5273703158263434</v>
          </cell>
        </row>
        <row r="793">
          <cell r="A793" t="str">
            <v>SCOM-SHLTHCHPBIO</v>
          </cell>
          <cell r="B793" t="str">
            <v>VAR_ncap</v>
          </cell>
          <cell r="C793" t="str">
            <v>-</v>
          </cell>
          <cell r="D793">
            <v>5.9357929945246697E-8</v>
          </cell>
          <cell r="E793">
            <v>2.03089640763142E-2</v>
          </cell>
          <cell r="F793">
            <v>1.74012919241638E-2</v>
          </cell>
          <cell r="G793">
            <v>1.5626890308319201E-2</v>
          </cell>
          <cell r="H793">
            <v>2.87102957021775E-2</v>
          </cell>
          <cell r="I793">
            <v>4.1858099609739297E-2</v>
          </cell>
        </row>
        <row r="794">
          <cell r="A794" t="str">
            <v>SCOM-SHLTHCHPBIO</v>
          </cell>
          <cell r="B794" t="str">
            <v>VAR_cap</v>
          </cell>
          <cell r="C794" t="str">
            <v>-</v>
          </cell>
          <cell r="D794">
            <v>0.10913974693696894</v>
          </cell>
          <cell r="E794">
            <v>0.12094199470602518</v>
          </cell>
          <cell r="F794">
            <v>8.6571006107928491E-2</v>
          </cell>
          <cell r="G794">
            <v>7.01920111604903E-2</v>
          </cell>
          <cell r="H794">
            <v>8.903606215713919E-2</v>
          </cell>
          <cell r="I794">
            <v>7.7079607390281094E-2</v>
          </cell>
        </row>
        <row r="795">
          <cell r="A795" t="str">
            <v>D-RSH2</v>
          </cell>
          <cell r="B795" t="str">
            <v>VAR_fout</v>
          </cell>
          <cell r="C795" t="str">
            <v>RSH2</v>
          </cell>
          <cell r="G795">
            <v>4.6632694237507829E-4</v>
          </cell>
          <cell r="H795">
            <v>4.4966535065532034E-4</v>
          </cell>
          <cell r="I795">
            <v>3.1300010060341483E-4</v>
          </cell>
        </row>
        <row r="796">
          <cell r="A796" t="str">
            <v>D-RSH2</v>
          </cell>
          <cell r="B796" t="str">
            <v>VAR_fin</v>
          </cell>
          <cell r="C796" t="str">
            <v>H2</v>
          </cell>
          <cell r="G796">
            <v>4.6987960196550422E-4</v>
          </cell>
          <cell r="H796">
            <v>4.5309107577502154E-4</v>
          </cell>
          <cell r="I796">
            <v>3.1538465681959512E-4</v>
          </cell>
        </row>
        <row r="797">
          <cell r="A797" t="str">
            <v>D-RSH2</v>
          </cell>
          <cell r="B797" t="str">
            <v>VAR_ncap</v>
          </cell>
          <cell r="C797" t="str">
            <v>-</v>
          </cell>
          <cell r="G797">
            <v>3.9569379777672201E-5</v>
          </cell>
          <cell r="H797">
            <v>1.13415784810307E-6</v>
          </cell>
          <cell r="I797">
            <v>3.0624145447811601E-7</v>
          </cell>
        </row>
        <row r="798">
          <cell r="A798" t="str">
            <v>D-RSH2</v>
          </cell>
          <cell r="B798" t="str">
            <v>VAR_cap</v>
          </cell>
          <cell r="C798" t="str">
            <v>-</v>
          </cell>
          <cell r="G798">
            <v>3.9569379777672201E-5</v>
          </cell>
          <cell r="H798">
            <v>4.8135168777821301E-5</v>
          </cell>
          <cell r="I798">
            <v>4.8441410232299403E-5</v>
          </cell>
        </row>
        <row r="799">
          <cell r="A799" t="str">
            <v>RHES-SHNGABR</v>
          </cell>
          <cell r="B799" t="str">
            <v>VAR_fout</v>
          </cell>
          <cell r="C799" t="str">
            <v>CO2_R</v>
          </cell>
          <cell r="D799">
            <v>1043.13520413076</v>
          </cell>
          <cell r="E799">
            <v>1116.645410225</v>
          </cell>
          <cell r="F799">
            <v>667.11064940247195</v>
          </cell>
          <cell r="G799">
            <v>548.62716010859504</v>
          </cell>
          <cell r="H799">
            <v>316.84045377969602</v>
          </cell>
          <cell r="I799">
            <v>146.16426740348601</v>
          </cell>
        </row>
        <row r="800">
          <cell r="A800" t="str">
            <v>RHES-SHNGABR</v>
          </cell>
          <cell r="B800" t="str">
            <v>VAR_fout</v>
          </cell>
          <cell r="C800" t="str">
            <v>RHES-SHNGA</v>
          </cell>
          <cell r="D800">
            <v>17.570539785890396</v>
          </cell>
          <cell r="E800">
            <v>18.808743611945857</v>
          </cell>
          <cell r="F800">
            <v>10.85875551312477</v>
          </cell>
          <cell r="G800">
            <v>8.9935048014096157</v>
          </cell>
          <cell r="H800">
            <v>5.2567925512603502</v>
          </cell>
          <cell r="I800">
            <v>2.455320289529356</v>
          </cell>
        </row>
        <row r="801">
          <cell r="A801" t="str">
            <v>RHES-SHNGABR</v>
          </cell>
          <cell r="B801" t="str">
            <v>VAR_fin</v>
          </cell>
          <cell r="C801" t="str">
            <v>RNGA</v>
          </cell>
          <cell r="D801">
            <v>18.49530503777936</v>
          </cell>
          <cell r="E801">
            <v>19.7986774862588</v>
          </cell>
          <cell r="F801">
            <v>11.828203003589934</v>
          </cell>
          <cell r="G801">
            <v>9.7274319168190821</v>
          </cell>
          <cell r="H801">
            <v>5.6177385421932016</v>
          </cell>
          <cell r="I801">
            <v>2.5915650248844968</v>
          </cell>
        </row>
        <row r="802">
          <cell r="A802" t="str">
            <v>RHES-SHNGABR</v>
          </cell>
          <cell r="B802" t="str">
            <v>VAR_ncap</v>
          </cell>
          <cell r="C802" t="str">
            <v>-</v>
          </cell>
          <cell r="E802">
            <v>9.7600542321563594E-2</v>
          </cell>
          <cell r="F802">
            <v>3.4521233612729201E-8</v>
          </cell>
          <cell r="G802">
            <v>8.8345435884282602E-8</v>
          </cell>
          <cell r="H802">
            <v>0.28016402923764999</v>
          </cell>
          <cell r="I802">
            <v>5.15540503859351E-8</v>
          </cell>
        </row>
        <row r="803">
          <cell r="A803" t="str">
            <v>RHES-SHNGABR</v>
          </cell>
          <cell r="B803" t="str">
            <v>VAR_cap</v>
          </cell>
          <cell r="C803" t="str">
            <v>-</v>
          </cell>
          <cell r="D803">
            <v>1.4219190615860799</v>
          </cell>
          <cell r="E803">
            <v>1.5195195841447922</v>
          </cell>
          <cell r="F803">
            <v>1.5194960188648012</v>
          </cell>
          <cell r="G803">
            <v>1.5194912619560548</v>
          </cell>
          <cell r="H803">
            <v>0.4246915486514995</v>
          </cell>
          <cell r="I803">
            <v>0.26445657993399357</v>
          </cell>
        </row>
        <row r="804">
          <cell r="A804" t="str">
            <v>SCOM-SHLTHCHPHFC</v>
          </cell>
          <cell r="B804" t="str">
            <v>VAR_ncap</v>
          </cell>
          <cell r="C804" t="str">
            <v>-</v>
          </cell>
          <cell r="G804">
            <v>1.50123746684299E-5</v>
          </cell>
          <cell r="H804">
            <v>1.56867856549122E-5</v>
          </cell>
          <cell r="I804">
            <v>1.19567915467296E-5</v>
          </cell>
        </row>
        <row r="805">
          <cell r="A805" t="str">
            <v>SCOM-SHLTHCHPHFC</v>
          </cell>
          <cell r="B805" t="str">
            <v>VAR_cap</v>
          </cell>
          <cell r="C805" t="str">
            <v>-</v>
          </cell>
          <cell r="G805">
            <v>1.50123746684299E-5</v>
          </cell>
          <cell r="H805">
            <v>2.3193411993948898E-5</v>
          </cell>
          <cell r="I805">
            <v>1.7328180517623901E-5</v>
          </cell>
        </row>
        <row r="806">
          <cell r="A806" t="str">
            <v>RHSA-WHNGABR</v>
          </cell>
          <cell r="B806" t="str">
            <v>VAR_fout</v>
          </cell>
          <cell r="C806" t="str">
            <v>RHSA-WHNGA</v>
          </cell>
          <cell r="D806">
            <v>6.3804514446772655</v>
          </cell>
          <cell r="E806">
            <v>5.5412224836145132</v>
          </cell>
          <cell r="F806">
            <v>5.4443148373543133</v>
          </cell>
          <cell r="G806">
            <v>4.4599122497917962</v>
          </cell>
          <cell r="H806">
            <v>3.0241212894551373</v>
          </cell>
          <cell r="I806">
            <v>1.9163123757919005</v>
          </cell>
        </row>
        <row r="807">
          <cell r="A807" t="str">
            <v>RHSA-WHNGABR</v>
          </cell>
          <cell r="B807" t="str">
            <v>VAR_fout</v>
          </cell>
          <cell r="C807" t="str">
            <v>CO2_R</v>
          </cell>
          <cell r="D807">
            <v>479.80994863973001</v>
          </cell>
          <cell r="E807">
            <v>414.48932105551501</v>
          </cell>
          <cell r="F807">
            <v>578.27768132329697</v>
          </cell>
          <cell r="G807">
            <v>456.45315163928899</v>
          </cell>
          <cell r="H807">
            <v>299.12990621189402</v>
          </cell>
          <cell r="I807">
            <v>183.85220580607501</v>
          </cell>
        </row>
        <row r="808">
          <cell r="A808" t="str">
            <v>RHSA-WHNGABR</v>
          </cell>
          <cell r="B808" t="str">
            <v>VAR_fin</v>
          </cell>
          <cell r="C808" t="str">
            <v>RNGA</v>
          </cell>
          <cell r="D808">
            <v>8.507268592903019</v>
          </cell>
          <cell r="E808">
            <v>7.3491014371545171</v>
          </cell>
          <cell r="F808">
            <v>10.253150378072633</v>
          </cell>
          <cell r="G808">
            <v>8.0931409865122141</v>
          </cell>
          <cell r="H808">
            <v>5.3037217413456501</v>
          </cell>
          <cell r="I808">
            <v>3.2597908830864322</v>
          </cell>
        </row>
        <row r="809">
          <cell r="A809" t="str">
            <v>RHSA-WHNGABR</v>
          </cell>
          <cell r="B809" t="str">
            <v>VAR_ncap</v>
          </cell>
          <cell r="C809" t="str">
            <v>-</v>
          </cell>
          <cell r="E809">
            <v>9.2063778258199305E-8</v>
          </cell>
          <cell r="F809">
            <v>9.6333981118794907E-8</v>
          </cell>
          <cell r="G809">
            <v>1.2663320929317601E-7</v>
          </cell>
          <cell r="H809">
            <v>7.6524290355140107E-2</v>
          </cell>
          <cell r="I809">
            <v>1.8455954095366201E-2</v>
          </cell>
        </row>
        <row r="810">
          <cell r="A810" t="str">
            <v>RHSA-WHNGABR</v>
          </cell>
          <cell r="B810" t="str">
            <v>VAR_cap</v>
          </cell>
          <cell r="C810" t="str">
            <v>-</v>
          </cell>
          <cell r="D810">
            <v>0.43610075802020798</v>
          </cell>
          <cell r="E810">
            <v>0.43609994241031702</v>
          </cell>
          <cell r="F810">
            <v>0.43609799053904807</v>
          </cell>
          <cell r="G810">
            <v>0.43609675576628415</v>
          </cell>
          <cell r="H810">
            <v>0.21187011852507723</v>
          </cell>
          <cell r="I810">
            <v>0.13124265895710105</v>
          </cell>
        </row>
        <row r="811">
          <cell r="A811" t="str">
            <v>ITOT-SWHWSTBR</v>
          </cell>
          <cell r="B811" t="str">
            <v>VAR_fout</v>
          </cell>
          <cell r="C811" t="str">
            <v>ITOT-SWH</v>
          </cell>
          <cell r="D811">
            <v>4.1173658577475321</v>
          </cell>
          <cell r="E811">
            <v>4.2663166930638168</v>
          </cell>
          <cell r="F811">
            <v>2.9611689653120083</v>
          </cell>
          <cell r="G811">
            <v>2.9280916640359713</v>
          </cell>
          <cell r="H811">
            <v>2.8804232818053284</v>
          </cell>
          <cell r="I811">
            <v>2.9375898042419362</v>
          </cell>
        </row>
        <row r="812">
          <cell r="A812" t="str">
            <v>ITOT-SWHWSTBR</v>
          </cell>
          <cell r="B812" t="str">
            <v>VAR_fout</v>
          </cell>
          <cell r="C812" t="str">
            <v>CO2_I</v>
          </cell>
          <cell r="D812">
            <v>723.65824166471702</v>
          </cell>
          <cell r="E812">
            <v>749.837479386974</v>
          </cell>
          <cell r="F812">
            <v>520.44787875180805</v>
          </cell>
          <cell r="G812">
            <v>514.63429246692795</v>
          </cell>
          <cell r="H812">
            <v>506.25621316578503</v>
          </cell>
          <cell r="I812">
            <v>501.11826072362402</v>
          </cell>
        </row>
        <row r="813">
          <cell r="A813" t="str">
            <v>ITOT-SWHWSTBR</v>
          </cell>
          <cell r="B813" t="str">
            <v>VAR_fin</v>
          </cell>
          <cell r="C813" t="str">
            <v>IWST</v>
          </cell>
          <cell r="D813">
            <v>7.7980413972491105</v>
          </cell>
          <cell r="E813">
            <v>8.0801452520147929</v>
          </cell>
          <cell r="F813">
            <v>5.6082745555151696</v>
          </cell>
          <cell r="G813">
            <v>5.5456281515832799</v>
          </cell>
          <cell r="H813">
            <v>5.455347124631297</v>
          </cell>
          <cell r="I813">
            <v>5.3999812577976725</v>
          </cell>
        </row>
        <row r="814">
          <cell r="A814" t="str">
            <v>ITOT-SWHWSTBR</v>
          </cell>
          <cell r="B814" t="str">
            <v>VAR_ncap</v>
          </cell>
          <cell r="C814" t="str">
            <v>-</v>
          </cell>
          <cell r="E814">
            <v>2.4360807453620898E-6</v>
          </cell>
          <cell r="F814">
            <v>2.0126302355608702E-6</v>
          </cell>
          <cell r="G814">
            <v>4.3573845132839204E-6</v>
          </cell>
          <cell r="H814">
            <v>0.10667543133167399</v>
          </cell>
          <cell r="I814">
            <v>8.2429244624809897E-2</v>
          </cell>
        </row>
        <row r="815">
          <cell r="A815" t="str">
            <v>ITOT-SWHWSTBR</v>
          </cell>
          <cell r="B815" t="str">
            <v>VAR_cap</v>
          </cell>
          <cell r="C815" t="str">
            <v>-</v>
          </cell>
          <cell r="D815">
            <v>0.35954682816669398</v>
          </cell>
          <cell r="E815">
            <v>0.33659495194520095</v>
          </cell>
          <cell r="F815">
            <v>0.33456566609535143</v>
          </cell>
          <cell r="G815">
            <v>0.33450518404584056</v>
          </cell>
          <cell r="H815">
            <v>0.18122851625083017</v>
          </cell>
          <cell r="I815">
            <v>0.19137798840770368</v>
          </cell>
        </row>
        <row r="816">
          <cell r="A816" t="str">
            <v>SCOM-SHSTG-ELC</v>
          </cell>
          <cell r="B816" t="str">
            <v>VAR_fout</v>
          </cell>
          <cell r="C816" t="str">
            <v>SCOM-SHAELCB</v>
          </cell>
          <cell r="D816">
            <v>5.059680791978076E-6</v>
          </cell>
          <cell r="E816">
            <v>3.0606739728383431E-5</v>
          </cell>
          <cell r="F816">
            <v>9.525067010785009E-6</v>
          </cell>
          <cell r="G816">
            <v>8.1556475350744606E-6</v>
          </cell>
          <cell r="H816">
            <v>1.2551861301381354E-5</v>
          </cell>
          <cell r="I816">
            <v>8.3088306950456286E-8</v>
          </cell>
        </row>
        <row r="817">
          <cell r="A817" t="str">
            <v>SCOM-SHSTG-ELC</v>
          </cell>
          <cell r="B817" t="str">
            <v>VAR_fin</v>
          </cell>
          <cell r="C817" t="str">
            <v>SCOM-SHAELCB</v>
          </cell>
          <cell r="D817">
            <v>6.6339875936218617E-6</v>
          </cell>
          <cell r="E817">
            <v>4.0234507166300047E-5</v>
          </cell>
          <cell r="F817">
            <v>1.1622704477639115E-5</v>
          </cell>
          <cell r="G817">
            <v>9.0130591073994999E-6</v>
          </cell>
          <cell r="H817">
            <v>1.5292779237340146E-5</v>
          </cell>
          <cell r="I817">
            <v>8.8439118345994699E-7</v>
          </cell>
        </row>
        <row r="818">
          <cell r="A818" t="str">
            <v>SCOM-SHSTG-ELC</v>
          </cell>
          <cell r="B818" t="str">
            <v>VAR_ncap</v>
          </cell>
          <cell r="C818" t="str">
            <v>-</v>
          </cell>
          <cell r="D818">
            <v>3.2573339679906098E-3</v>
          </cell>
          <cell r="E818">
            <v>4.5963776362599002E-3</v>
          </cell>
          <cell r="F818">
            <v>1.7650415592114499E-3</v>
          </cell>
          <cell r="G818">
            <v>2.4597341742006199E-5</v>
          </cell>
          <cell r="H818">
            <v>6.6482763932249897E-3</v>
          </cell>
          <cell r="I818">
            <v>2.4961461519276199E-5</v>
          </cell>
        </row>
        <row r="819">
          <cell r="A819" t="str">
            <v>SCOM-SHSTG-ELC</v>
          </cell>
          <cell r="B819" t="str">
            <v>VAR_cap</v>
          </cell>
          <cell r="C819" t="str">
            <v>-</v>
          </cell>
          <cell r="D819">
            <v>3.2573339679906098E-3</v>
          </cell>
          <cell r="E819">
            <v>7.820179940504119E-3</v>
          </cell>
          <cell r="F819">
            <v>9.5758812762385213E-3</v>
          </cell>
          <cell r="G819">
            <v>9.5757574933280337E-3</v>
          </cell>
          <cell r="H819">
            <v>8.5074794756583322E-3</v>
          </cell>
          <cell r="I819">
            <v>5.1397170886394285E-3</v>
          </cell>
        </row>
        <row r="820">
          <cell r="A820" t="str">
            <v>SCOM-SHNGABR</v>
          </cell>
          <cell r="B820" t="str">
            <v>VAR_fout</v>
          </cell>
          <cell r="C820" t="str">
            <v>CO2_S</v>
          </cell>
          <cell r="D820">
            <v>1440.94597042137</v>
          </cell>
          <cell r="E820">
            <v>1508.6876512552601</v>
          </cell>
          <cell r="F820">
            <v>1367.3859548585899</v>
          </cell>
          <cell r="G820">
            <v>1185.1748536974001</v>
          </cell>
          <cell r="H820">
            <v>787.48426780944703</v>
          </cell>
          <cell r="I820">
            <v>454.90266708431699</v>
          </cell>
        </row>
        <row r="821">
          <cell r="A821" t="str">
            <v>SCOM-SHNGABR</v>
          </cell>
          <cell r="B821" t="str">
            <v>VAR_fout</v>
          </cell>
          <cell r="C821" t="str">
            <v>SCOM-SHNGA</v>
          </cell>
          <cell r="D821">
            <v>24.189714683775183</v>
          </cell>
          <cell r="E821">
            <v>25.326920356442937</v>
          </cell>
          <cell r="F821">
            <v>20.748831932014415</v>
          </cell>
          <cell r="G821">
            <v>18.15555076519178</v>
          </cell>
          <cell r="H821">
            <v>12.086367331747944</v>
          </cell>
          <cell r="I821">
            <v>6.9818800950361535</v>
          </cell>
        </row>
        <row r="822">
          <cell r="A822" t="str">
            <v>SCOM-SHNGABR</v>
          </cell>
          <cell r="B822" t="str">
            <v>VAR_fin</v>
          </cell>
          <cell r="C822" t="str">
            <v>SNGA</v>
          </cell>
          <cell r="D822">
            <v>25.548687418818734</v>
          </cell>
          <cell r="E822">
            <v>26.749781050625096</v>
          </cell>
          <cell r="F822">
            <v>24.244431823733827</v>
          </cell>
          <cell r="G822">
            <v>21.013738540733961</v>
          </cell>
          <cell r="H822">
            <v>13.962487017897981</v>
          </cell>
          <cell r="I822">
            <v>8.0656501256084585</v>
          </cell>
        </row>
        <row r="823">
          <cell r="A823" t="str">
            <v>SCOM-SHNGABR</v>
          </cell>
          <cell r="B823" t="str">
            <v>VAR_ncap</v>
          </cell>
          <cell r="C823" t="str">
            <v>-</v>
          </cell>
          <cell r="D823">
            <v>7.09598379847825E-8</v>
          </cell>
          <cell r="E823">
            <v>3.6564086123712199E-7</v>
          </cell>
          <cell r="F823">
            <v>2.6068890406802398E-7</v>
          </cell>
          <cell r="G823">
            <v>4.8363405222730402E-7</v>
          </cell>
          <cell r="H823">
            <v>0.57543998645207906</v>
          </cell>
          <cell r="I823">
            <v>3.9767918325162001E-5</v>
          </cell>
        </row>
        <row r="824">
          <cell r="A824" t="str">
            <v>SCOM-SHNGABR</v>
          </cell>
          <cell r="B824" t="str">
            <v>VAR_cap</v>
          </cell>
          <cell r="C824" t="str">
            <v>-</v>
          </cell>
          <cell r="D824">
            <v>2.7746815688350579</v>
          </cell>
          <cell r="E824">
            <v>2.7746690092862041</v>
          </cell>
          <cell r="F824">
            <v>2.7746483890708751</v>
          </cell>
          <cell r="G824">
            <v>2.7746421466593492</v>
          </cell>
          <cell r="H824">
            <v>1.1115399347070547</v>
          </cell>
          <cell r="I824">
            <v>0.64442283953811463</v>
          </cell>
        </row>
        <row r="825">
          <cell r="A825" t="str">
            <v>RHEM-SHELCHP</v>
          </cell>
          <cell r="B825" t="str">
            <v>VAR_fout</v>
          </cell>
          <cell r="C825" t="str">
            <v>RHEM-SHAELCH</v>
          </cell>
          <cell r="D825">
            <v>9.902527876107575</v>
          </cell>
          <cell r="E825">
            <v>11.655197228048161</v>
          </cell>
          <cell r="F825">
            <v>9.4691069541163664</v>
          </cell>
          <cell r="G825">
            <v>12.900848944373136</v>
          </cell>
          <cell r="H825">
            <v>16.967560675357895</v>
          </cell>
          <cell r="I825">
            <v>20.84933745903507</v>
          </cell>
        </row>
        <row r="826">
          <cell r="A826" t="str">
            <v>RHEM-SHELCHP</v>
          </cell>
          <cell r="B826" t="str">
            <v>VAR_fin</v>
          </cell>
          <cell r="C826" t="str">
            <v>RHEMELCHPC</v>
          </cell>
          <cell r="D826">
            <v>9.902527876107575</v>
          </cell>
          <cell r="E826">
            <v>11.655197228048161</v>
          </cell>
          <cell r="F826">
            <v>9.4691069541163664</v>
          </cell>
          <cell r="G826">
            <v>12.900848944373136</v>
          </cell>
          <cell r="H826">
            <v>16.967560675357895</v>
          </cell>
          <cell r="I826">
            <v>20.84933745903507</v>
          </cell>
        </row>
        <row r="827">
          <cell r="A827" t="str">
            <v>RHEM-SHELCHP</v>
          </cell>
          <cell r="B827" t="str">
            <v>VAR_fin</v>
          </cell>
          <cell r="C827" t="str">
            <v>RHEM_ELC</v>
          </cell>
          <cell r="D827">
            <v>3.0945399326563416</v>
          </cell>
          <cell r="E827">
            <v>3.5825400937469509</v>
          </cell>
          <cell r="F827">
            <v>3.0533236818693621</v>
          </cell>
          <cell r="G827">
            <v>3.9121341263627198</v>
          </cell>
          <cell r="H827">
            <v>4.7726118306480858</v>
          </cell>
          <cell r="I827">
            <v>5.4064590667636381</v>
          </cell>
        </row>
        <row r="828">
          <cell r="A828" t="str">
            <v>RHEM-SHELCHP</v>
          </cell>
          <cell r="B828" t="str">
            <v>VAR_ncap</v>
          </cell>
          <cell r="C828" t="str">
            <v>-</v>
          </cell>
          <cell r="D828">
            <v>6.6169991823124695E-7</v>
          </cell>
          <cell r="E828">
            <v>0.123762082641295</v>
          </cell>
          <cell r="F828">
            <v>1.41195232552755E-7</v>
          </cell>
          <cell r="G828">
            <v>8.7976582026548303E-2</v>
          </cell>
          <cell r="H828">
            <v>0.40402906218124301</v>
          </cell>
          <cell r="I828">
            <v>0.86852716982959</v>
          </cell>
        </row>
        <row r="829">
          <cell r="A829" t="str">
            <v>RHEM-SHELCHP</v>
          </cell>
          <cell r="B829" t="str">
            <v>VAR_cap</v>
          </cell>
          <cell r="C829" t="str">
            <v>-</v>
          </cell>
          <cell r="D829">
            <v>0.69925261209191725</v>
          </cell>
          <cell r="E829">
            <v>0.82301466589710826</v>
          </cell>
          <cell r="F829">
            <v>0.82301450582322833</v>
          </cell>
          <cell r="G829">
            <v>0.91099125084120003</v>
          </cell>
          <cell r="H829">
            <v>1.1981887670245071</v>
          </cell>
          <cell r="I829">
            <v>1.4722534922324362</v>
          </cell>
        </row>
        <row r="830">
          <cell r="A830" t="str">
            <v>RHNM-SHSTG-ELC</v>
          </cell>
          <cell r="B830" t="str">
            <v>VAR_fout</v>
          </cell>
          <cell r="C830" t="str">
            <v>RHNM-SHAELCB</v>
          </cell>
          <cell r="E830">
            <v>1.3747404979617534E-6</v>
          </cell>
          <cell r="F830">
            <v>5.470014667345826E-4</v>
          </cell>
          <cell r="G830">
            <v>8.5669825517399351E-4</v>
          </cell>
          <cell r="H830">
            <v>1.3922508311882769E-3</v>
          </cell>
          <cell r="I830">
            <v>1.2483800228814445E-3</v>
          </cell>
        </row>
        <row r="831">
          <cell r="A831" t="str">
            <v>RHNM-SHSTG-ELC</v>
          </cell>
          <cell r="B831" t="str">
            <v>VAR_fin</v>
          </cell>
          <cell r="C831" t="str">
            <v>RHNM-SHAELCB</v>
          </cell>
          <cell r="E831">
            <v>1.4166762733092581E-7</v>
          </cell>
          <cell r="F831">
            <v>5.4537920822657002E-4</v>
          </cell>
          <cell r="G831">
            <v>8.5488267686964796E-4</v>
          </cell>
          <cell r="H831">
            <v>1.3974536228162414E-3</v>
          </cell>
          <cell r="I831">
            <v>1.2516130852951828E-3</v>
          </cell>
        </row>
        <row r="832">
          <cell r="A832" t="str">
            <v>RHNM-SHSTG-ELC</v>
          </cell>
          <cell r="B832" t="str">
            <v>VAR_ncap</v>
          </cell>
          <cell r="C832" t="str">
            <v>-</v>
          </cell>
          <cell r="D832">
            <v>7.1984289501054606E-5</v>
          </cell>
          <cell r="E832">
            <v>2.7510399451957401E-3</v>
          </cell>
          <cell r="F832">
            <v>1.8070964629987899E-5</v>
          </cell>
          <cell r="G832">
            <v>2.0618902346859801E-5</v>
          </cell>
          <cell r="H832">
            <v>1.6814872147796699E-5</v>
          </cell>
          <cell r="I832">
            <v>1.6399658671472799E-5</v>
          </cell>
        </row>
        <row r="833">
          <cell r="A833" t="str">
            <v>RHNM-SHSTG-ELC</v>
          </cell>
          <cell r="B833" t="str">
            <v>VAR_cap</v>
          </cell>
          <cell r="C833" t="str">
            <v>-</v>
          </cell>
          <cell r="D833">
            <v>7.1984289501054606E-5</v>
          </cell>
          <cell r="E833">
            <v>2.8207090450875524E-3</v>
          </cell>
          <cell r="F833">
            <v>1.39827605200656E-3</v>
          </cell>
          <cell r="G833">
            <v>1.1423987323930199E-3</v>
          </cell>
          <cell r="H833">
            <v>3.5663593282451078E-4</v>
          </cell>
          <cell r="I833">
            <v>1.510200236565426E-4</v>
          </cell>
        </row>
        <row r="834">
          <cell r="A834" t="str">
            <v>D-RWOD</v>
          </cell>
          <cell r="B834" t="str">
            <v>VAR_fout</v>
          </cell>
          <cell r="C834" t="str">
            <v>RWOD</v>
          </cell>
          <cell r="D834">
            <v>13.722989072185417</v>
          </cell>
          <cell r="E834">
            <v>14.427093708404648</v>
          </cell>
          <cell r="F834">
            <v>17.12712120528813</v>
          </cell>
          <cell r="G834">
            <v>16.574648728719822</v>
          </cell>
          <cell r="H834">
            <v>14.909600320662944</v>
          </cell>
          <cell r="I834">
            <v>13.422143826117825</v>
          </cell>
        </row>
        <row r="835">
          <cell r="A835" t="str">
            <v>D-RWOD</v>
          </cell>
          <cell r="B835" t="str">
            <v>VAR_fin</v>
          </cell>
          <cell r="C835" t="str">
            <v>WOD</v>
          </cell>
          <cell r="D835">
            <v>13.722989072185417</v>
          </cell>
          <cell r="E835">
            <v>14.427093708404648</v>
          </cell>
          <cell r="F835">
            <v>17.12712120528813</v>
          </cell>
          <cell r="G835">
            <v>16.574648728719822</v>
          </cell>
          <cell r="H835">
            <v>14.909600320662944</v>
          </cell>
          <cell r="I835">
            <v>13.422143826117825</v>
          </cell>
        </row>
        <row r="836">
          <cell r="A836" t="str">
            <v>RHNS-SHLTHCHPWOD</v>
          </cell>
          <cell r="B836" t="str">
            <v>VAR_ncap</v>
          </cell>
          <cell r="C836" t="str">
            <v>-</v>
          </cell>
          <cell r="G836">
            <v>5.0407621818467499E-5</v>
          </cell>
          <cell r="H836">
            <v>3.2098104369096397E-5</v>
          </cell>
          <cell r="I836">
            <v>1.7561689459619801E-5</v>
          </cell>
        </row>
        <row r="837">
          <cell r="A837" t="str">
            <v>RHNS-SHLTHCHPWOD</v>
          </cell>
          <cell r="B837" t="str">
            <v>VAR_cap</v>
          </cell>
          <cell r="C837" t="str">
            <v>-</v>
          </cell>
          <cell r="G837">
            <v>5.0407621818467499E-5</v>
          </cell>
          <cell r="H837">
            <v>5.7048057735288094E-5</v>
          </cell>
          <cell r="I837">
            <v>2.9367964205665802E-5</v>
          </cell>
        </row>
        <row r="838">
          <cell r="A838" t="str">
            <v>RHNM-SHELCBR</v>
          </cell>
          <cell r="B838" t="str">
            <v>VAR_fout</v>
          </cell>
          <cell r="C838" t="str">
            <v>RHNM-SHAELCB</v>
          </cell>
          <cell r="E838">
            <v>0.15438639360045339</v>
          </cell>
          <cell r="F838">
            <v>1.3420061049474324E-3</v>
          </cell>
          <cell r="G838">
            <v>3.8106178251341208E-3</v>
          </cell>
          <cell r="H838">
            <v>5.9099330250719142E-3</v>
          </cell>
          <cell r="I838">
            <v>7.3817075595734513E-3</v>
          </cell>
        </row>
        <row r="839">
          <cell r="A839" t="str">
            <v>RHNM-SHELCBR</v>
          </cell>
          <cell r="B839" t="str">
            <v>VAR_fin</v>
          </cell>
          <cell r="C839" t="str">
            <v>RHNM_ELC</v>
          </cell>
          <cell r="E839">
            <v>0.16251199326363502</v>
          </cell>
          <cell r="F839">
            <v>1.412638005207823E-3</v>
          </cell>
          <cell r="G839">
            <v>4.0111766580359148E-3</v>
          </cell>
          <cell r="H839">
            <v>6.2209821316546446E-3</v>
          </cell>
          <cell r="I839">
            <v>7.7702184837615271E-3</v>
          </cell>
        </row>
        <row r="840">
          <cell r="A840" t="str">
            <v>RHNM-SHELCBR</v>
          </cell>
          <cell r="B840" t="str">
            <v>VAR_ncap</v>
          </cell>
          <cell r="C840" t="str">
            <v>-</v>
          </cell>
          <cell r="E840">
            <v>1.20243117585687E-2</v>
          </cell>
        </row>
        <row r="841">
          <cell r="A841" t="str">
            <v>RHNM-SHELCBR</v>
          </cell>
          <cell r="B841" t="str">
            <v>VAR_cap</v>
          </cell>
          <cell r="C841" t="str">
            <v>-</v>
          </cell>
          <cell r="E841">
            <v>1.20243117585687E-2</v>
          </cell>
          <cell r="F841">
            <v>5.9430441859967802E-3</v>
          </cell>
          <cell r="G841">
            <v>4.8548251912654402E-3</v>
          </cell>
          <cell r="H841">
            <v>1.5165709967585859E-3</v>
          </cell>
          <cell r="I841">
            <v>6.413190264577699E-4</v>
          </cell>
        </row>
        <row r="842">
          <cell r="A842" t="str">
            <v>RHNS-SHSTG-NGAHP</v>
          </cell>
          <cell r="B842" t="str">
            <v>VAR_fout</v>
          </cell>
          <cell r="C842" t="str">
            <v>RHNS-SHANGAH</v>
          </cell>
          <cell r="F842">
            <v>9.432930097408903E-3</v>
          </cell>
          <cell r="G842">
            <v>2.6471265634002764E-2</v>
          </cell>
          <cell r="H842">
            <v>4.8360659973309093E-2</v>
          </cell>
          <cell r="I842">
            <v>0.11655681063298638</v>
          </cell>
        </row>
        <row r="843">
          <cell r="A843" t="str">
            <v>RHNS-SHSTG-NGAHP</v>
          </cell>
          <cell r="B843" t="str">
            <v>VAR_fin</v>
          </cell>
          <cell r="C843" t="str">
            <v>RHNS-SHANGAH</v>
          </cell>
          <cell r="F843">
            <v>9.4378801009642396E-3</v>
          </cell>
          <cell r="G843">
            <v>2.6478128641408871E-2</v>
          </cell>
          <cell r="H843">
            <v>4.8370225810400229E-2</v>
          </cell>
          <cell r="I843">
            <v>0.11656806618420264</v>
          </cell>
        </row>
        <row r="844">
          <cell r="A844" t="str">
            <v>RHNS-SHSTG-NGAHP</v>
          </cell>
          <cell r="B844" t="str">
            <v>VAR_ncap</v>
          </cell>
          <cell r="C844" t="str">
            <v>-</v>
          </cell>
          <cell r="D844">
            <v>3.0259555185371198E-6</v>
          </cell>
          <cell r="E844">
            <v>3.09046431021894E-6</v>
          </cell>
          <cell r="F844">
            <v>2.2012772880682799E-3</v>
          </cell>
          <cell r="G844">
            <v>4.8540531152065896E-3</v>
          </cell>
          <cell r="H844">
            <v>5.8823107582722696E-3</v>
          </cell>
          <cell r="I844">
            <v>1.1225589030944699E-2</v>
          </cell>
        </row>
        <row r="845">
          <cell r="A845" t="str">
            <v>RHNS-SHSTG-NGAHP</v>
          </cell>
          <cell r="B845" t="str">
            <v>VAR_cap</v>
          </cell>
          <cell r="C845" t="str">
            <v>-</v>
          </cell>
          <cell r="D845">
            <v>3.0259555185371198E-6</v>
          </cell>
          <cell r="E845">
            <v>1.8841192549220039E-7</v>
          </cell>
          <cell r="F845">
            <v>2.1999215673354933E-3</v>
          </cell>
          <cell r="G845">
            <v>7.0508399961681295E-3</v>
          </cell>
          <cell r="H845">
            <v>1.2612737875831564E-2</v>
          </cell>
          <cell r="I845">
            <v>1.6769686911865457E-2</v>
          </cell>
        </row>
        <row r="846">
          <cell r="A846" t="str">
            <v>RHNS-SHLTHDH</v>
          </cell>
          <cell r="B846" t="str">
            <v>VAR_fout</v>
          </cell>
          <cell r="C846" t="str">
            <v>RHNS-SHLTHD</v>
          </cell>
          <cell r="E846">
            <v>5.3926847756609553E-2</v>
          </cell>
          <cell r="F846">
            <v>3.975778675805685E-3</v>
          </cell>
          <cell r="G846">
            <v>6.1766105141314439E-3</v>
          </cell>
          <cell r="H846">
            <v>8.7819064960918854E-3</v>
          </cell>
          <cell r="I846">
            <v>1.0334508096352765E-2</v>
          </cell>
        </row>
        <row r="847">
          <cell r="A847" t="str">
            <v>RHNS-SHLTHDH</v>
          </cell>
          <cell r="B847" t="str">
            <v>VAR_fin</v>
          </cell>
          <cell r="C847" t="str">
            <v>RHNS_LTH_DH</v>
          </cell>
          <cell r="E847">
            <v>5.4471563390514718E-2</v>
          </cell>
          <cell r="F847">
            <v>4.3975150684924559E-3</v>
          </cell>
          <cell r="G847">
            <v>6.8184062243027898E-3</v>
          </cell>
          <cell r="H847">
            <v>9.6675894782107565E-3</v>
          </cell>
          <cell r="I847">
            <v>1.1376775849212888E-2</v>
          </cell>
        </row>
        <row r="848">
          <cell r="A848" t="str">
            <v>RHNS-SHLTHDH</v>
          </cell>
          <cell r="B848" t="str">
            <v>VAR_fin</v>
          </cell>
          <cell r="C848" t="str">
            <v>RHNSLTHDHC</v>
          </cell>
          <cell r="E848">
            <v>5.3926847756609553E-2</v>
          </cell>
          <cell r="F848">
            <v>3.975778675805685E-3</v>
          </cell>
          <cell r="G848">
            <v>6.1766105141314439E-3</v>
          </cell>
          <cell r="H848">
            <v>8.7819064960918854E-3</v>
          </cell>
          <cell r="I848">
            <v>1.0334508096352765E-2</v>
          </cell>
        </row>
        <row r="849">
          <cell r="A849" t="str">
            <v>RHNS-SHLTHDH</v>
          </cell>
          <cell r="B849" t="str">
            <v>VAR_ncap</v>
          </cell>
          <cell r="C849" t="str">
            <v>-</v>
          </cell>
          <cell r="E849">
            <v>5.3497201696892996E-3</v>
          </cell>
          <cell r="F849">
            <v>2.5066651478705598E-2</v>
          </cell>
          <cell r="G849">
            <v>6.1079879562267901E-3</v>
          </cell>
          <cell r="H849">
            <v>6.69151320124291E-3</v>
          </cell>
          <cell r="I849">
            <v>5.7492582605781503E-4</v>
          </cell>
        </row>
        <row r="850">
          <cell r="A850" t="str">
            <v>RHNS-SHLTHDH</v>
          </cell>
          <cell r="B850" t="str">
            <v>VAR_cap</v>
          </cell>
          <cell r="C850" t="str">
            <v>-</v>
          </cell>
          <cell r="E850">
            <v>5.3497201696892996E-3</v>
          </cell>
          <cell r="F850">
            <v>2.9435123227416392E-2</v>
          </cell>
          <cell r="G850">
            <v>1.51009361677731E-2</v>
          </cell>
          <cell r="H850">
            <v>3.3077427209791399E-2</v>
          </cell>
          <cell r="I850">
            <v>3.0152823727212924E-3</v>
          </cell>
        </row>
        <row r="851">
          <cell r="A851" t="str">
            <v>ITOT-SWHNGAHP</v>
          </cell>
          <cell r="B851" t="str">
            <v>VAR_fout</v>
          </cell>
          <cell r="C851" t="str">
            <v>ITOT-SWHANGAH</v>
          </cell>
          <cell r="F851">
            <v>4.719062565109758E-3</v>
          </cell>
          <cell r="G851">
            <v>5.7788535062596605E-3</v>
          </cell>
          <cell r="H851">
            <v>0.12107228043081686</v>
          </cell>
          <cell r="I851">
            <v>0.10521586667270151</v>
          </cell>
        </row>
        <row r="852">
          <cell r="A852" t="str">
            <v>ITOT-SWHNGAHP</v>
          </cell>
          <cell r="B852" t="str">
            <v>VAR_fout</v>
          </cell>
          <cell r="C852" t="str">
            <v>CO2_I</v>
          </cell>
          <cell r="F852">
            <v>0.14116459815922</v>
          </cell>
          <cell r="G852">
            <v>0.16955424273082301</v>
          </cell>
          <cell r="H852">
            <v>3.42119722809649</v>
          </cell>
          <cell r="I852">
            <v>2.8673000013540699</v>
          </cell>
        </row>
        <row r="853">
          <cell r="A853" t="str">
            <v>ITOT-SWHNGAHP</v>
          </cell>
          <cell r="B853" t="str">
            <v>VAR_fin</v>
          </cell>
          <cell r="C853" t="str">
            <v>ITOTELCHPC</v>
          </cell>
          <cell r="F853">
            <v>4.719062565109758E-3</v>
          </cell>
          <cell r="G853">
            <v>5.7788535062596605E-3</v>
          </cell>
          <cell r="H853">
            <v>0.12107228043081686</v>
          </cell>
          <cell r="I853">
            <v>0.10521586667270151</v>
          </cell>
        </row>
        <row r="854">
          <cell r="A854" t="str">
            <v>ITOT-SWHNGAHP</v>
          </cell>
          <cell r="B854" t="str">
            <v>VAR_fin</v>
          </cell>
          <cell r="C854" t="str">
            <v>INGA</v>
          </cell>
          <cell r="F854">
            <v>2.5029184070783639E-3</v>
          </cell>
          <cell r="G854">
            <v>3.0062808994826711E-3</v>
          </cell>
          <cell r="H854">
            <v>6.0659525320859831E-2</v>
          </cell>
          <cell r="I854">
            <v>5.0838652506277802E-2</v>
          </cell>
        </row>
        <row r="855">
          <cell r="A855" t="str">
            <v>ITOT-SWHNGAHP</v>
          </cell>
          <cell r="B855" t="str">
            <v>VAR_ncap</v>
          </cell>
          <cell r="C855" t="str">
            <v>-</v>
          </cell>
          <cell r="E855">
            <v>1.7579240951259999E-4</v>
          </cell>
          <cell r="F855">
            <v>1.78307719540935E-4</v>
          </cell>
          <cell r="G855">
            <v>7.4904704702079901E-6</v>
          </cell>
          <cell r="H855">
            <v>6.1728898199260298E-3</v>
          </cell>
          <cell r="I855">
            <v>1.10161017563719E-3</v>
          </cell>
        </row>
        <row r="856">
          <cell r="A856" t="str">
            <v>ITOT-SWHNGAHP</v>
          </cell>
          <cell r="B856" t="str">
            <v>VAR_cap</v>
          </cell>
          <cell r="C856" t="str">
            <v>-</v>
          </cell>
          <cell r="E856">
            <v>1.7579240951259999E-4</v>
          </cell>
          <cell r="F856">
            <v>3.5389880404362915E-4</v>
          </cell>
          <cell r="G856">
            <v>3.6113371106667567E-4</v>
          </cell>
          <cell r="H856">
            <v>6.6511230888299713E-3</v>
          </cell>
          <cell r="I856">
            <v>5.7681303821905065E-3</v>
          </cell>
        </row>
        <row r="857">
          <cell r="A857" t="str">
            <v>RHSA-WHLFOBR</v>
          </cell>
          <cell r="B857" t="str">
            <v>VAR_fout</v>
          </cell>
          <cell r="C857" t="str">
            <v>CO2_R</v>
          </cell>
          <cell r="D857">
            <v>726.71218905463297</v>
          </cell>
          <cell r="E857">
            <v>571.51782638222301</v>
          </cell>
          <cell r="F857">
            <v>680.314019427159</v>
          </cell>
          <cell r="G857">
            <v>434.999359688423</v>
          </cell>
          <cell r="H857">
            <v>240.05328092923699</v>
          </cell>
          <cell r="I857">
            <v>108.33643148855801</v>
          </cell>
        </row>
        <row r="858">
          <cell r="A858" t="str">
            <v>RHSA-WHLFOBR</v>
          </cell>
          <cell r="B858" t="str">
            <v>VAR_fout</v>
          </cell>
          <cell r="C858" t="str">
            <v>RHSA-WHLFO</v>
          </cell>
          <cell r="D858">
            <v>6.9844568147494135</v>
          </cell>
          <cell r="E858">
            <v>5.5413448227358097</v>
          </cell>
          <cell r="F858">
            <v>4.655125137289617</v>
          </cell>
          <cell r="G858">
            <v>3.108522428751225</v>
          </cell>
          <cell r="H858">
            <v>1.8013123098402359</v>
          </cell>
          <cell r="I858">
            <v>0.83393256463551979</v>
          </cell>
        </row>
        <row r="859">
          <cell r="A859" t="str">
            <v>RHSA-WHLFOBR</v>
          </cell>
          <cell r="B859" t="str">
            <v>VAR_fin</v>
          </cell>
          <cell r="C859" t="str">
            <v>RLFO</v>
          </cell>
          <cell r="D859">
            <v>9.8604096208226988</v>
          </cell>
          <cell r="E859">
            <v>7.7546516469772371</v>
          </cell>
          <cell r="F859">
            <v>9.2308550804227885</v>
          </cell>
          <cell r="G859">
            <v>5.9022979604942094</v>
          </cell>
          <cell r="H859">
            <v>3.2571679908987332</v>
          </cell>
          <cell r="I859">
            <v>1.4699651490984842</v>
          </cell>
        </row>
        <row r="860">
          <cell r="A860" t="str">
            <v>RHSA-WHLFOBR</v>
          </cell>
          <cell r="B860" t="str">
            <v>VAR_ncap</v>
          </cell>
          <cell r="C860" t="str">
            <v>-</v>
          </cell>
          <cell r="E860">
            <v>6.5721053639291596E-8</v>
          </cell>
          <cell r="F860">
            <v>4.1088143123754901E-8</v>
          </cell>
          <cell r="G860">
            <v>8.2902896971290104E-8</v>
          </cell>
          <cell r="H860">
            <v>8.1303091230042202E-2</v>
          </cell>
        </row>
        <row r="861">
          <cell r="A861" t="str">
            <v>RHSA-WHLFOBR</v>
          </cell>
          <cell r="B861" t="str">
            <v>VAR_cap</v>
          </cell>
          <cell r="C861" t="str">
            <v>-</v>
          </cell>
          <cell r="D861">
            <v>0.47738433216181703</v>
          </cell>
          <cell r="E861">
            <v>0.47738247718828952</v>
          </cell>
          <cell r="F861">
            <v>0.45196096743337061</v>
          </cell>
          <cell r="G861">
            <v>0.4519270604813162</v>
          </cell>
          <cell r="H861">
            <v>0.12312197412099683</v>
          </cell>
          <cell r="I861">
            <v>7.6183347294123363E-2</v>
          </cell>
        </row>
        <row r="862">
          <cell r="A862" t="str">
            <v>D-IWST</v>
          </cell>
          <cell r="B862" t="str">
            <v>VAR_fout</v>
          </cell>
          <cell r="C862" t="str">
            <v>CO2</v>
          </cell>
          <cell r="D862">
            <v>1068.12826210768</v>
          </cell>
          <cell r="E862">
            <v>1094.4818939608499</v>
          </cell>
          <cell r="F862">
            <v>1024.6412008371101</v>
          </cell>
          <cell r="G862">
            <v>1013.19793669559</v>
          </cell>
          <cell r="H862">
            <v>996.69826253847805</v>
          </cell>
          <cell r="I862">
            <v>986.58512518585701</v>
          </cell>
        </row>
        <row r="863">
          <cell r="A863" t="str">
            <v>D-IWST</v>
          </cell>
          <cell r="B863" t="str">
            <v>VAR_fout</v>
          </cell>
          <cell r="C863" t="str">
            <v>IWST</v>
          </cell>
          <cell r="D863">
            <v>11.510002824436164</v>
          </cell>
          <cell r="E863">
            <v>11.793985926302312</v>
          </cell>
          <cell r="F863">
            <v>11.041392250399939</v>
          </cell>
          <cell r="G863">
            <v>10.918081214392169</v>
          </cell>
          <cell r="H863">
            <v>10.740283001492214</v>
          </cell>
          <cell r="I863">
            <v>10.631305228295883</v>
          </cell>
        </row>
        <row r="864">
          <cell r="A864" t="str">
            <v>D-IWST</v>
          </cell>
          <cell r="B864" t="str">
            <v>VAR_fin</v>
          </cell>
          <cell r="C864" t="str">
            <v>WSTNREN</v>
          </cell>
          <cell r="D864">
            <v>11.510002824436164</v>
          </cell>
          <cell r="E864">
            <v>11.793985926302312</v>
          </cell>
          <cell r="F864">
            <v>11.041392250399939</v>
          </cell>
          <cell r="G864">
            <v>10.918081214392169</v>
          </cell>
          <cell r="H864">
            <v>10.740283001492214</v>
          </cell>
          <cell r="I864">
            <v>10.631305228295883</v>
          </cell>
        </row>
        <row r="865">
          <cell r="A865" t="str">
            <v>RHES-SHLFOBR</v>
          </cell>
          <cell r="B865" t="str">
            <v>VAR_fout</v>
          </cell>
          <cell r="C865" t="str">
            <v>CO2_R</v>
          </cell>
          <cell r="D865">
            <v>1783.6626200220701</v>
          </cell>
          <cell r="E865">
            <v>1640.9693980531299</v>
          </cell>
          <cell r="F865">
            <v>1249.21523257641</v>
          </cell>
          <cell r="G865">
            <v>799.76107284833802</v>
          </cell>
          <cell r="H865">
            <v>379.71148286571099</v>
          </cell>
          <cell r="I865">
            <v>103.32178320187801</v>
          </cell>
        </row>
        <row r="866">
          <cell r="A866" t="str">
            <v>RHES-SHLFOBR</v>
          </cell>
          <cell r="B866" t="str">
            <v>VAR_fout</v>
          </cell>
          <cell r="C866" t="str">
            <v>RHES-SHLFO</v>
          </cell>
          <cell r="D866">
            <v>21.68065712939541</v>
          </cell>
          <cell r="E866">
            <v>19.946201977692461</v>
          </cell>
          <cell r="F866">
            <v>14.41715986541856</v>
          </cell>
          <cell r="G866">
            <v>9.3764964288584718</v>
          </cell>
          <cell r="H866">
            <v>4.5244780476693194</v>
          </cell>
          <cell r="I866">
            <v>1.2357101975027454</v>
          </cell>
        </row>
        <row r="867">
          <cell r="A867" t="str">
            <v>RHES-SHLFOBR</v>
          </cell>
          <cell r="B867" t="str">
            <v>VAR_fin</v>
          </cell>
          <cell r="C867" t="str">
            <v>RLFO</v>
          </cell>
          <cell r="D867">
            <v>24.201663772348347</v>
          </cell>
          <cell r="E867">
            <v>22.265527789052012</v>
          </cell>
          <cell r="F867">
            <v>16.950003155717862</v>
          </cell>
          <cell r="G867">
            <v>10.851574936883834</v>
          </cell>
          <cell r="H867">
            <v>5.1521232410544213</v>
          </cell>
          <cell r="I867">
            <v>1.4019237883565556</v>
          </cell>
        </row>
        <row r="868">
          <cell r="A868" t="str">
            <v>RHES-SHLFOBR</v>
          </cell>
          <cell r="B868" t="str">
            <v>VAR_ncap</v>
          </cell>
          <cell r="C868" t="str">
            <v>-</v>
          </cell>
          <cell r="E868">
            <v>3.13261994850279E-8</v>
          </cell>
          <cell r="F868">
            <v>2.52019028282105E-8</v>
          </cell>
          <cell r="G868">
            <v>6.1235948113823205E-8</v>
          </cell>
          <cell r="H868">
            <v>0.28320641035643401</v>
          </cell>
          <cell r="I868">
            <v>2.8113021634246699E-8</v>
          </cell>
        </row>
        <row r="869">
          <cell r="A869" t="str">
            <v>RHES-SHLFOBR</v>
          </cell>
          <cell r="B869" t="str">
            <v>VAR_cap</v>
          </cell>
          <cell r="C869" t="str">
            <v>-</v>
          </cell>
          <cell r="D869">
            <v>1.7515307393373001</v>
          </cell>
          <cell r="E869">
            <v>1.7514328510261161</v>
          </cell>
          <cell r="F869">
            <v>1.6830558568133651</v>
          </cell>
          <cell r="G869">
            <v>1.6830453063274737</v>
          </cell>
          <cell r="H869">
            <v>0.36552740676832446</v>
          </cell>
          <cell r="I869">
            <v>0.11931615633958401</v>
          </cell>
        </row>
        <row r="870">
          <cell r="A870" t="str">
            <v>ITOT-SWHSTG</v>
          </cell>
          <cell r="B870" t="str">
            <v>VAR_fout</v>
          </cell>
          <cell r="C870" t="str">
            <v>ITOT-SWH</v>
          </cell>
          <cell r="D870">
            <v>2.4817465916257892E-6</v>
          </cell>
          <cell r="E870">
            <v>5.8758031286251044E-5</v>
          </cell>
          <cell r="F870">
            <v>1.5213047066931524E-3</v>
          </cell>
          <cell r="G870">
            <v>9.7929280253574065E-4</v>
          </cell>
          <cell r="H870">
            <v>1.5760073047662861E-3</v>
          </cell>
          <cell r="I870">
            <v>7.427506000492326E-2</v>
          </cell>
        </row>
        <row r="871">
          <cell r="A871" t="str">
            <v>ITOT-SWHSTG</v>
          </cell>
          <cell r="B871" t="str">
            <v>VAR_fout</v>
          </cell>
          <cell r="C871" t="str">
            <v>AUX_ITOT-STG_OUT</v>
          </cell>
          <cell r="E871">
            <v>5.8710043511222652E-5</v>
          </cell>
          <cell r="F871">
            <v>1.5193642670162483E-3</v>
          </cell>
          <cell r="G871">
            <v>9.792928025357426E-4</v>
          </cell>
          <cell r="H871">
            <v>1.5760073047662872E-3</v>
          </cell>
          <cell r="I871">
            <v>7.427506000492326E-2</v>
          </cell>
        </row>
        <row r="872">
          <cell r="A872" t="str">
            <v>ITOT-SWHSTG</v>
          </cell>
          <cell r="B872" t="str">
            <v>VAR_fin</v>
          </cell>
          <cell r="C872" t="str">
            <v>AUX_ITOT-STG_IN</v>
          </cell>
          <cell r="D872">
            <v>3.0652187762004451E-6</v>
          </cell>
          <cell r="E872">
            <v>7.1481782881314032E-5</v>
          </cell>
          <cell r="F872">
            <v>1.8110770324570164E-3</v>
          </cell>
          <cell r="G872">
            <v>1.1250991694260503E-3</v>
          </cell>
          <cell r="H872">
            <v>1.694830177958534E-3</v>
          </cell>
          <cell r="I872">
            <v>7.5025319770148619E-2</v>
          </cell>
        </row>
        <row r="873">
          <cell r="A873" t="str">
            <v>ITOT-SWHSTG</v>
          </cell>
          <cell r="B873" t="str">
            <v>VAR_fin</v>
          </cell>
          <cell r="C873" t="str">
            <v>ITOT-SWH</v>
          </cell>
          <cell r="D873">
            <v>3.0652187762004451E-6</v>
          </cell>
          <cell r="E873">
            <v>7.1481782881314032E-5</v>
          </cell>
          <cell r="F873">
            <v>1.8110770324570164E-3</v>
          </cell>
          <cell r="G873">
            <v>1.1250991694260503E-3</v>
          </cell>
          <cell r="H873">
            <v>1.694830177958534E-3</v>
          </cell>
          <cell r="I873">
            <v>7.5025319770148619E-2</v>
          </cell>
        </row>
        <row r="874">
          <cell r="A874" t="str">
            <v>ITOT-SWHSTG</v>
          </cell>
          <cell r="B874" t="str">
            <v>VAR_ncap</v>
          </cell>
          <cell r="C874" t="str">
            <v>-</v>
          </cell>
          <cell r="D874">
            <v>3.39747623329128E-4</v>
          </cell>
          <cell r="E874">
            <v>1.8692321641990801E-6</v>
          </cell>
          <cell r="F874">
            <v>3.3493480852849098E-6</v>
          </cell>
          <cell r="G874">
            <v>1.61123504518574E-6</v>
          </cell>
          <cell r="H874">
            <v>5.3054899201596697E-5</v>
          </cell>
          <cell r="I874">
            <v>1.7489243153477201E-2</v>
          </cell>
        </row>
        <row r="875">
          <cell r="A875" t="str">
            <v>ITOT-SWHSTG</v>
          </cell>
          <cell r="B875" t="str">
            <v>VAR_cap</v>
          </cell>
          <cell r="C875" t="str">
            <v>-</v>
          </cell>
          <cell r="D875">
            <v>3.39747623329128E-4</v>
          </cell>
          <cell r="E875">
            <v>3.4135326096878789E-4</v>
          </cell>
          <cell r="F875">
            <v>3.4424199332688967E-4</v>
          </cell>
          <cell r="G875">
            <v>3.4473986464953306E-4</v>
          </cell>
          <cell r="H875">
            <v>4.89005501160955E-4</v>
          </cell>
          <cell r="I875">
            <v>1.7710154705134481E-2</v>
          </cell>
        </row>
        <row r="876">
          <cell r="A876" t="str">
            <v>SCOM-SHLFOBR</v>
          </cell>
          <cell r="B876" t="str">
            <v>VAR_fout</v>
          </cell>
          <cell r="C876" t="str">
            <v>CO2_S</v>
          </cell>
          <cell r="D876">
            <v>2229.91394052431</v>
          </cell>
          <cell r="E876">
            <v>1996.39511723907</v>
          </cell>
          <cell r="F876">
            <v>1978.0046729595599</v>
          </cell>
          <cell r="G876">
            <v>1447.6977734761299</v>
          </cell>
          <cell r="H876">
            <v>902.48521852682495</v>
          </cell>
          <cell r="I876">
            <v>383.47550327596502</v>
          </cell>
        </row>
        <row r="877">
          <cell r="A877" t="str">
            <v>SCOM-SHLFOBR</v>
          </cell>
          <cell r="B877" t="str">
            <v>VAR_fout</v>
          </cell>
          <cell r="C877" t="str">
            <v>SCOM-SHLFO</v>
          </cell>
          <cell r="D877">
            <v>24.843069747374258</v>
          </cell>
          <cell r="E877">
            <v>22.285521110705989</v>
          </cell>
          <cell r="F877">
            <v>21.322466660380101</v>
          </cell>
          <cell r="G877">
            <v>15.91965134229261</v>
          </cell>
          <cell r="H877">
            <v>10.006711088249098</v>
          </cell>
          <cell r="I877">
            <v>4.2519572530698886</v>
          </cell>
        </row>
        <row r="878">
          <cell r="A878" t="str">
            <v>SCOM-SHLFOBR</v>
          </cell>
          <cell r="B878" t="str">
            <v>VAR_fin</v>
          </cell>
          <cell r="C878" t="str">
            <v>SLFO</v>
          </cell>
          <cell r="D878">
            <v>30.256634199787158</v>
          </cell>
          <cell r="E878">
            <v>27.088129134858487</v>
          </cell>
          <cell r="F878">
            <v>26.838598004878641</v>
          </cell>
          <cell r="G878">
            <v>19.643117686243265</v>
          </cell>
          <cell r="H878">
            <v>12.245389667935214</v>
          </cell>
          <cell r="I878">
            <v>5.2031954311528414</v>
          </cell>
        </row>
        <row r="879">
          <cell r="A879" t="str">
            <v>SCOM-SHLFOBR</v>
          </cell>
          <cell r="B879" t="str">
            <v>VAR_ncap</v>
          </cell>
          <cell r="C879" t="str">
            <v>-</v>
          </cell>
          <cell r="D879">
            <v>2.9021106472146502E-7</v>
          </cell>
          <cell r="E879">
            <v>3.8607032152907299E-7</v>
          </cell>
          <cell r="F879">
            <v>1.90723480071801E-7</v>
          </cell>
          <cell r="G879">
            <v>3.2233504702630301E-7</v>
          </cell>
          <cell r="H879">
            <v>0.297040213637627</v>
          </cell>
          <cell r="I879">
            <v>2.8663362696803498E-7</v>
          </cell>
        </row>
        <row r="880">
          <cell r="A880" t="str">
            <v>SCOM-SHLFOBR</v>
          </cell>
          <cell r="B880" t="str">
            <v>VAR_cap</v>
          </cell>
          <cell r="C880" t="str">
            <v>-</v>
          </cell>
          <cell r="D880">
            <v>1.9285739474361847</v>
          </cell>
          <cell r="E880">
            <v>1.8705200327363609</v>
          </cell>
          <cell r="F880">
            <v>1.8705107510634489</v>
          </cell>
          <cell r="G880">
            <v>1.8705071585265511</v>
          </cell>
          <cell r="H880">
            <v>0.77654904806124336</v>
          </cell>
          <cell r="I880">
            <v>0.41840154451967954</v>
          </cell>
        </row>
        <row r="881">
          <cell r="A881" t="str">
            <v>RHNM-SHPLTBR</v>
          </cell>
          <cell r="B881" t="str">
            <v>VAR_fout</v>
          </cell>
          <cell r="C881" t="str">
            <v>RHNM-SHPLT</v>
          </cell>
          <cell r="E881">
            <v>7.353844991610517E-2</v>
          </cell>
          <cell r="F881">
            <v>1.9517578655544821E-2</v>
          </cell>
          <cell r="G881">
            <v>4.2791209480609195E-2</v>
          </cell>
          <cell r="H881">
            <v>8.3227460725347646E-2</v>
          </cell>
          <cell r="I881">
            <v>0.1231631662712029</v>
          </cell>
        </row>
        <row r="882">
          <cell r="A882" t="str">
            <v>RHNM-SHPLTBR</v>
          </cell>
          <cell r="B882" t="str">
            <v>VAR_fin</v>
          </cell>
          <cell r="C882" t="str">
            <v>RPLT</v>
          </cell>
          <cell r="E882">
            <v>8.1709388795672383E-2</v>
          </cell>
          <cell r="F882">
            <v>2.6272311666651359E-2</v>
          </cell>
          <cell r="G882">
            <v>5.7336059238553755E-2</v>
          </cell>
          <cell r="H882">
            <v>0.11090659880939803</v>
          </cell>
          <cell r="I882">
            <v>0.16412380902515425</v>
          </cell>
        </row>
        <row r="883">
          <cell r="A883" t="str">
            <v>RHNM-SHPLTBR</v>
          </cell>
          <cell r="B883" t="str">
            <v>VAR_fin</v>
          </cell>
          <cell r="C883" t="str">
            <v>RHNMPLTBRC</v>
          </cell>
          <cell r="E883">
            <v>7.353844991610517E-2</v>
          </cell>
          <cell r="F883">
            <v>1.9517578655544821E-2</v>
          </cell>
          <cell r="G883">
            <v>4.2791209480609195E-2</v>
          </cell>
          <cell r="H883">
            <v>8.3227460725347646E-2</v>
          </cell>
          <cell r="I883">
            <v>0.1231631662712029</v>
          </cell>
        </row>
        <row r="884">
          <cell r="A884" t="str">
            <v>RHNM-SHPLTBR</v>
          </cell>
          <cell r="B884" t="str">
            <v>VAR_ncap</v>
          </cell>
          <cell r="C884" t="str">
            <v>-</v>
          </cell>
          <cell r="E884">
            <v>5.7690166579834603E-3</v>
          </cell>
          <cell r="F884">
            <v>3.8014857765887199E-7</v>
          </cell>
          <cell r="G884">
            <v>2.32650561930531E-7</v>
          </cell>
          <cell r="H884">
            <v>4.4181358090082104E-3</v>
          </cell>
          <cell r="I884">
            <v>5.5507717791779499E-3</v>
          </cell>
        </row>
        <row r="885">
          <cell r="A885" t="str">
            <v>RHNM-SHPLTBR</v>
          </cell>
          <cell r="B885" t="str">
            <v>VAR_cap</v>
          </cell>
          <cell r="C885" t="str">
            <v>-</v>
          </cell>
          <cell r="E885">
            <v>5.7690166579834603E-3</v>
          </cell>
          <cell r="F885">
            <v>5.7688831779093173E-3</v>
          </cell>
          <cell r="G885">
            <v>5.7686050222566197E-3</v>
          </cell>
          <cell r="H885">
            <v>6.5471540004757352E-3</v>
          </cell>
          <cell r="I885">
            <v>9.6575471861839336E-3</v>
          </cell>
        </row>
        <row r="886">
          <cell r="A886" t="str">
            <v>D-RHES_NKEV_GAS_ELC_CHP</v>
          </cell>
          <cell r="B886" t="str">
            <v>VAR_fout</v>
          </cell>
          <cell r="C886" t="str">
            <v>RHES_ELC</v>
          </cell>
          <cell r="D886">
            <v>6.79522672905077E-3</v>
          </cell>
          <cell r="E886">
            <v>9.2019786351235145E-4</v>
          </cell>
          <cell r="F886">
            <v>9.6446077517925867E-4</v>
          </cell>
          <cell r="G886">
            <v>3.0689179102017165E-3</v>
          </cell>
          <cell r="H886">
            <v>9.8011427462344012E-4</v>
          </cell>
          <cell r="I886">
            <v>3.7840339932744999E-4</v>
          </cell>
        </row>
        <row r="887">
          <cell r="A887" t="str">
            <v>D-RHES_NKEV_GAS_ELC_CHP</v>
          </cell>
          <cell r="B887" t="str">
            <v>VAR_fout</v>
          </cell>
          <cell r="C887" t="str">
            <v>ELC5</v>
          </cell>
          <cell r="D887">
            <v>6.5313070842716132E-3</v>
          </cell>
          <cell r="E887">
            <v>9.2020058165196144E-4</v>
          </cell>
          <cell r="F887">
            <v>9.6481530549591963E-4</v>
          </cell>
          <cell r="G887">
            <v>3.070411254473208E-3</v>
          </cell>
          <cell r="H887">
            <v>9.8115716065557161E-4</v>
          </cell>
          <cell r="I887">
            <v>3.7855615117625017E-4</v>
          </cell>
        </row>
        <row r="888">
          <cell r="A888" t="str">
            <v>D-RHES_NKEV_GAS_ELC_CHP</v>
          </cell>
          <cell r="B888" t="str">
            <v>VAR_fin</v>
          </cell>
          <cell r="C888" t="str">
            <v>RHES_NKEV_GAS_ELC_CHP</v>
          </cell>
          <cell r="D888">
            <v>1.332653381332238E-2</v>
          </cell>
          <cell r="E888">
            <v>1.8403984451643134E-3</v>
          </cell>
          <cell r="F888">
            <v>1.9258657285323221E-3</v>
          </cell>
          <cell r="G888">
            <v>6.1393291646749219E-3</v>
          </cell>
          <cell r="H888">
            <v>1.9612714352790096E-3</v>
          </cell>
          <cell r="I888">
            <v>7.5695955050369989E-4</v>
          </cell>
        </row>
        <row r="889">
          <cell r="A889" t="str">
            <v>SCOM-SHSTG-SOL</v>
          </cell>
          <cell r="B889" t="str">
            <v>VAR_fout</v>
          </cell>
          <cell r="C889" t="str">
            <v>SCOM-SHASOL</v>
          </cell>
          <cell r="D889">
            <v>1.6380244695340696E-5</v>
          </cell>
          <cell r="E889">
            <v>1.6397798541953986E-5</v>
          </cell>
          <cell r="F889">
            <v>1.1799586854862816E-5</v>
          </cell>
          <cell r="G889">
            <v>1.0187868971330597E-5</v>
          </cell>
          <cell r="H889">
            <v>1.404227735557858E-5</v>
          </cell>
          <cell r="I889">
            <v>5.2881301515520292E-6</v>
          </cell>
        </row>
        <row r="890">
          <cell r="A890" t="str">
            <v>SCOM-SHSTG-SOL</v>
          </cell>
          <cell r="B890" t="str">
            <v>VAR_fin</v>
          </cell>
          <cell r="C890" t="str">
            <v>SCOM-SHASOL</v>
          </cell>
          <cell r="D890">
            <v>1.5002792126223304E-5</v>
          </cell>
          <cell r="E890">
            <v>1.6071148906085571E-5</v>
          </cell>
          <cell r="F890">
            <v>9.7703314722275513E-6</v>
          </cell>
          <cell r="G890">
            <v>7.6688146001215219E-6</v>
          </cell>
          <cell r="H890">
            <v>1.3534450597769195E-5</v>
          </cell>
        </row>
        <row r="891">
          <cell r="A891" t="str">
            <v>SCOM-SHSTG-SOL</v>
          </cell>
          <cell r="B891" t="str">
            <v>VAR_ncap</v>
          </cell>
          <cell r="C891" t="str">
            <v>-</v>
          </cell>
          <cell r="D891">
            <v>4.2923191229913803E-3</v>
          </cell>
          <cell r="E891">
            <v>1.9196955412896202E-2</v>
          </cell>
          <cell r="F891">
            <v>5.1888026685486701E-8</v>
          </cell>
          <cell r="G891">
            <v>7.2922777680422806E-8</v>
          </cell>
          <cell r="H891">
            <v>1.2637338119419399E-2</v>
          </cell>
          <cell r="I891">
            <v>1.52707282419402E-2</v>
          </cell>
        </row>
        <row r="892">
          <cell r="A892" t="str">
            <v>SCOM-SHSTG-SOL</v>
          </cell>
          <cell r="B892" t="str">
            <v>VAR_cap</v>
          </cell>
          <cell r="C892" t="str">
            <v>-</v>
          </cell>
          <cell r="D892">
            <v>4.2923191229913803E-3</v>
          </cell>
          <cell r="E892">
            <v>2.3489274535887599E-2</v>
          </cell>
          <cell r="F892">
            <v>2.3489326423914301E-2</v>
          </cell>
          <cell r="G892">
            <v>2.3489399346691999E-2</v>
          </cell>
          <cell r="H892">
            <v>2.49076239524871E-2</v>
          </cell>
          <cell r="I892">
            <v>2.96323084907044E-2</v>
          </cell>
        </row>
        <row r="893">
          <cell r="A893" t="str">
            <v>RHNM-SHELCBRA</v>
          </cell>
          <cell r="B893" t="str">
            <v>VAR_fout</v>
          </cell>
          <cell r="C893" t="str">
            <v>RHNM-SHELCB</v>
          </cell>
          <cell r="E893">
            <v>0.15438870301723054</v>
          </cell>
          <cell r="F893">
            <v>1.3436391297714512E-3</v>
          </cell>
          <cell r="G893">
            <v>3.8124261712569867E-3</v>
          </cell>
          <cell r="H893">
            <v>5.9047302334439469E-3</v>
          </cell>
          <cell r="I893">
            <v>7.3784744971597087E-3</v>
          </cell>
        </row>
        <row r="894">
          <cell r="A894" t="str">
            <v>RHNM-SHELCBRA</v>
          </cell>
          <cell r="B894" t="str">
            <v>VAR_fin</v>
          </cell>
          <cell r="C894" t="str">
            <v>RHNM-SHAELCB</v>
          </cell>
          <cell r="E894">
            <v>0.15438870301723054</v>
          </cell>
          <cell r="F894">
            <v>1.3436391297714512E-3</v>
          </cell>
          <cell r="G894">
            <v>3.8124261712569867E-3</v>
          </cell>
          <cell r="H894">
            <v>5.9047302334439469E-3</v>
          </cell>
          <cell r="I894">
            <v>7.3784744971597087E-3</v>
          </cell>
        </row>
        <row r="895">
          <cell r="A895" t="str">
            <v>RHNM-SHELCBRA</v>
          </cell>
          <cell r="B895" t="str">
            <v>VAR_ncap</v>
          </cell>
          <cell r="C895" t="str">
            <v>-</v>
          </cell>
          <cell r="E895">
            <v>1.20243117585687E-2</v>
          </cell>
        </row>
        <row r="896">
          <cell r="A896" t="str">
            <v>RHNM-SHELCBRA</v>
          </cell>
          <cell r="B896" t="str">
            <v>VAR_cap</v>
          </cell>
          <cell r="C896" t="str">
            <v>-</v>
          </cell>
          <cell r="E896">
            <v>1.20243117585687E-2</v>
          </cell>
          <cell r="F896">
            <v>5.9430612702491403E-3</v>
          </cell>
          <cell r="G896">
            <v>4.8548473128511701E-3</v>
          </cell>
          <cell r="H896">
            <v>1.5168550312832188E-3</v>
          </cell>
          <cell r="I896">
            <v>6.4145497159176458E-4</v>
          </cell>
        </row>
        <row r="897">
          <cell r="A897" t="str">
            <v>RHNM-SHSTG-SOL</v>
          </cell>
          <cell r="B897" t="str">
            <v>VAR_fout</v>
          </cell>
          <cell r="C897" t="str">
            <v>RHNM-SHASOL</v>
          </cell>
          <cell r="E897">
            <v>1.0992402017175642E-5</v>
          </cell>
          <cell r="F897">
            <v>8.0945145712716763E-6</v>
          </cell>
          <cell r="G897">
            <v>1.2082047329454758E-5</v>
          </cell>
          <cell r="H897">
            <v>2.0500954450435421E-5</v>
          </cell>
          <cell r="I897">
            <v>8.1500050460166999E-5</v>
          </cell>
        </row>
        <row r="898">
          <cell r="A898" t="str">
            <v>RHNM-SHSTG-SOL</v>
          </cell>
          <cell r="B898" t="str">
            <v>VAR_fin</v>
          </cell>
          <cell r="C898" t="str">
            <v>RHNM-SHASOL</v>
          </cell>
          <cell r="E898">
            <v>3.3366667975893E-7</v>
          </cell>
          <cell r="F898">
            <v>2.8113794682123363E-6</v>
          </cell>
          <cell r="G898">
            <v>1.0856522840321491E-5</v>
          </cell>
          <cell r="H898">
            <v>2.0075073968139278E-5</v>
          </cell>
          <cell r="I898">
            <v>8.1397629429975649E-5</v>
          </cell>
        </row>
        <row r="899">
          <cell r="A899" t="str">
            <v>RHNM-SHSTG-SOL</v>
          </cell>
          <cell r="B899" t="str">
            <v>VAR_ncap</v>
          </cell>
          <cell r="C899" t="str">
            <v>-</v>
          </cell>
          <cell r="D899">
            <v>6.6913604183665895E-5</v>
          </cell>
          <cell r="E899">
            <v>6.4760353560718898E-4</v>
          </cell>
          <cell r="F899">
            <v>2.3005134545069399E-5</v>
          </cell>
          <cell r="G899">
            <v>2.5189489505720298E-7</v>
          </cell>
          <cell r="H899">
            <v>2.2298223741600899E-5</v>
          </cell>
          <cell r="I899">
            <v>1.6852671477757702E-5</v>
          </cell>
        </row>
        <row r="900">
          <cell r="A900" t="str">
            <v>RHNM-SHSTG-SOL</v>
          </cell>
          <cell r="B900" t="str">
            <v>VAR_cap</v>
          </cell>
          <cell r="C900" t="str">
            <v>-</v>
          </cell>
          <cell r="D900">
            <v>6.6913604183665895E-5</v>
          </cell>
          <cell r="E900">
            <v>7.1451713979085502E-4</v>
          </cell>
          <cell r="F900">
            <v>7.3752227433592497E-4</v>
          </cell>
          <cell r="G900">
            <v>7.3777416923098205E-4</v>
          </cell>
          <cell r="H900">
            <v>3.2299103474537102E-5</v>
          </cell>
          <cell r="I900">
            <v>3.5469204191864699E-5</v>
          </cell>
        </row>
        <row r="901">
          <cell r="A901" t="str">
            <v>RHNS-SHELCHP</v>
          </cell>
          <cell r="B901" t="str">
            <v>VAR_fout</v>
          </cell>
          <cell r="C901" t="str">
            <v>RHNS-SHAELCH</v>
          </cell>
          <cell r="E901">
            <v>0.13887042713669029</v>
          </cell>
          <cell r="F901">
            <v>1.0916391830173362</v>
          </cell>
          <cell r="G901">
            <v>1.9790560248053091</v>
          </cell>
          <cell r="H901">
            <v>2.9295790855908135</v>
          </cell>
          <cell r="I901">
            <v>3.5180618171968261</v>
          </cell>
        </row>
        <row r="902">
          <cell r="A902" t="str">
            <v>RHNS-SHELCHP</v>
          </cell>
          <cell r="B902" t="str">
            <v>VAR_fin</v>
          </cell>
          <cell r="C902" t="str">
            <v>RHNS_ELC</v>
          </cell>
          <cell r="E902">
            <v>4.268558211168761E-2</v>
          </cell>
          <cell r="F902">
            <v>0.32079312311458724</v>
          </cell>
          <cell r="G902">
            <v>0.56495970739585333</v>
          </cell>
          <cell r="H902">
            <v>0.80430254336648688</v>
          </cell>
          <cell r="I902">
            <v>0.92568554803229408</v>
          </cell>
        </row>
        <row r="903">
          <cell r="A903" t="str">
            <v>RHNS-SHELCHP</v>
          </cell>
          <cell r="B903" t="str">
            <v>VAR_fin</v>
          </cell>
          <cell r="C903" t="str">
            <v>RHNSELCHPC</v>
          </cell>
          <cell r="E903">
            <v>0.13887042713669029</v>
          </cell>
          <cell r="F903">
            <v>1.0916391830173362</v>
          </cell>
          <cell r="G903">
            <v>1.9790560248053091</v>
          </cell>
          <cell r="H903">
            <v>2.9295790855908135</v>
          </cell>
          <cell r="I903">
            <v>3.5180618171968261</v>
          </cell>
        </row>
        <row r="904">
          <cell r="A904" t="str">
            <v>RHNS-SHELCHP</v>
          </cell>
          <cell r="B904" t="str">
            <v>VAR_ncap</v>
          </cell>
          <cell r="C904" t="str">
            <v>-</v>
          </cell>
          <cell r="E904">
            <v>1.0178141693821601E-2</v>
          </cell>
          <cell r="F904">
            <v>6.9460121556965099E-2</v>
          </cell>
          <cell r="G904">
            <v>6.4752814348178603E-2</v>
          </cell>
          <cell r="H904">
            <v>0.11385161624811201</v>
          </cell>
          <cell r="I904">
            <v>0.156533713531781</v>
          </cell>
        </row>
        <row r="905">
          <cell r="A905" t="str">
            <v>RHNS-SHELCHP</v>
          </cell>
          <cell r="B905" t="str">
            <v>VAR_cap</v>
          </cell>
          <cell r="C905" t="str">
            <v>-</v>
          </cell>
          <cell r="E905">
            <v>1.0178141693821601E-2</v>
          </cell>
          <cell r="F905">
            <v>7.9638197635948302E-2</v>
          </cell>
          <cell r="G905">
            <v>0.14439098599576086</v>
          </cell>
          <cell r="H905">
            <v>0.2135348438795272</v>
          </cell>
          <cell r="I905">
            <v>0.25741398961086631</v>
          </cell>
        </row>
        <row r="906">
          <cell r="A906" t="str">
            <v>SCOM-SHBIOBR</v>
          </cell>
          <cell r="B906" t="str">
            <v>VAR_fout</v>
          </cell>
          <cell r="C906" t="str">
            <v>SCOM-SHBIO</v>
          </cell>
          <cell r="D906">
            <v>1.2230667153962358</v>
          </cell>
          <cell r="E906">
            <v>1.3407666426492684</v>
          </cell>
        </row>
        <row r="907">
          <cell r="A907" t="str">
            <v>SCOM-SHBIOBR</v>
          </cell>
          <cell r="B907" t="str">
            <v>VAR_fin</v>
          </cell>
          <cell r="C907" t="str">
            <v>SBIO</v>
          </cell>
          <cell r="D907">
            <v>1.4022778209083187</v>
          </cell>
          <cell r="E907">
            <v>1.5372238507787992</v>
          </cell>
        </row>
        <row r="908">
          <cell r="A908" t="str">
            <v>SCOM-SHBIOBR</v>
          </cell>
          <cell r="B908" t="str">
            <v>VAR_ncap</v>
          </cell>
          <cell r="C908" t="str">
            <v>-</v>
          </cell>
          <cell r="D908">
            <v>1.89097517872828E-7</v>
          </cell>
          <cell r="E908">
            <v>1.6464321690185701E-6</v>
          </cell>
          <cell r="F908">
            <v>2.4062960087029198E-7</v>
          </cell>
          <cell r="G908">
            <v>3.0995647520039002E-7</v>
          </cell>
          <cell r="H908">
            <v>1.51574573619908E-5</v>
          </cell>
          <cell r="I908">
            <v>1.0976153591521599E-5</v>
          </cell>
        </row>
        <row r="909">
          <cell r="A909" t="str">
            <v>SCOM-SHBIOBR</v>
          </cell>
          <cell r="B909" t="str">
            <v>VAR_cap</v>
          </cell>
          <cell r="C909" t="str">
            <v>-</v>
          </cell>
          <cell r="D909">
            <v>0.10534111456619387</v>
          </cell>
          <cell r="E909">
            <v>0.10534240499347276</v>
          </cell>
          <cell r="F909">
            <v>0.10532587907666245</v>
          </cell>
          <cell r="G909">
            <v>0.10532209648547976</v>
          </cell>
          <cell r="H909">
            <v>2.5990236374788463E-5</v>
          </cell>
          <cell r="I909">
            <v>2.6274610888679414E-5</v>
          </cell>
        </row>
        <row r="910">
          <cell r="A910" t="str">
            <v>RHES-SHDEM</v>
          </cell>
          <cell r="B910" t="str">
            <v>VAR_fout</v>
          </cell>
          <cell r="C910" t="str">
            <v>RHES-SHD</v>
          </cell>
          <cell r="D910">
            <v>62.024837503894084</v>
          </cell>
          <cell r="E910">
            <v>67.815394581973521</v>
          </cell>
          <cell r="F910">
            <v>56.611416282068312</v>
          </cell>
          <cell r="G910">
            <v>55.589245428031305</v>
          </cell>
          <cell r="H910">
            <v>54.035865423228699</v>
          </cell>
          <cell r="I910">
            <v>53.237952745778095</v>
          </cell>
        </row>
        <row r="911">
          <cell r="A911" t="str">
            <v>RHES-SHDEM</v>
          </cell>
          <cell r="B911" t="str">
            <v>VAR_fin</v>
          </cell>
          <cell r="C911" t="str">
            <v>RHES-SHPLT</v>
          </cell>
          <cell r="D911">
            <v>1.2932767312557814</v>
          </cell>
          <cell r="E911">
            <v>1.4868767256450544</v>
          </cell>
          <cell r="F911">
            <v>4.4980714631118156E-2</v>
          </cell>
          <cell r="G911">
            <v>7.6805272134982519E-2</v>
          </cell>
          <cell r="H911">
            <v>0.11760485245486284</v>
          </cell>
          <cell r="I911">
            <v>0.15045561996278933</v>
          </cell>
        </row>
        <row r="912">
          <cell r="A912" t="str">
            <v>RHES-SHDEM</v>
          </cell>
          <cell r="B912" t="str">
            <v>VAR_fin</v>
          </cell>
          <cell r="C912" t="str">
            <v>RHES-SHLTHC-NGA</v>
          </cell>
          <cell r="D912">
            <v>3.3595517716850334E-2</v>
          </cell>
          <cell r="E912">
            <v>4.3023335752487204E-3</v>
          </cell>
        </row>
        <row r="913">
          <cell r="A913" t="str">
            <v>RHES-SHDEM</v>
          </cell>
          <cell r="B913" t="str">
            <v>VAR_fin</v>
          </cell>
          <cell r="C913" t="str">
            <v>RHES-SHSOL</v>
          </cell>
          <cell r="D913">
            <v>0.37594901618770815</v>
          </cell>
          <cell r="E913">
            <v>0.43547117804319208</v>
          </cell>
          <cell r="F913">
            <v>2.1659117809342654E-2</v>
          </cell>
          <cell r="G913">
            <v>2.443275892162787E-2</v>
          </cell>
          <cell r="H913">
            <v>2.6265189125079972E-2</v>
          </cell>
          <cell r="I913">
            <v>2.7288930873566611E-2</v>
          </cell>
        </row>
        <row r="914">
          <cell r="A914" t="str">
            <v>RHES-SHDEM</v>
          </cell>
          <cell r="B914" t="str">
            <v>VAR_fin</v>
          </cell>
          <cell r="C914" t="str">
            <v>RHES-SHLTHC-WOD</v>
          </cell>
          <cell r="D914">
            <v>7.4742921704255665E-4</v>
          </cell>
          <cell r="E914">
            <v>7.0731700978999367E-6</v>
          </cell>
        </row>
        <row r="915">
          <cell r="A915" t="str">
            <v>RHES-SHDEM</v>
          </cell>
          <cell r="B915" t="str">
            <v>VAR_fin</v>
          </cell>
          <cell r="C915" t="str">
            <v>RHES-SHNGA</v>
          </cell>
          <cell r="D915">
            <v>17.566625641097907</v>
          </cell>
          <cell r="E915">
            <v>18.808736295556898</v>
          </cell>
          <cell r="F915">
            <v>10.858762122360721</v>
          </cell>
          <cell r="G915">
            <v>8.9935113671880895</v>
          </cell>
          <cell r="H915">
            <v>5.2567975361472534</v>
          </cell>
          <cell r="I915">
            <v>2.4553254811519949</v>
          </cell>
        </row>
        <row r="916">
          <cell r="A916" t="str">
            <v>RHES-SHDEM</v>
          </cell>
          <cell r="B916" t="str">
            <v>VAR_fin</v>
          </cell>
          <cell r="C916" t="str">
            <v>RHES-SHNGAH</v>
          </cell>
          <cell r="D916">
            <v>2.1487102105484826E-3</v>
          </cell>
          <cell r="E916">
            <v>5.6774873511959592E-6</v>
          </cell>
          <cell r="F916">
            <v>2.0750703571587001</v>
          </cell>
          <cell r="G916">
            <v>4.034508670828254</v>
          </cell>
          <cell r="H916">
            <v>6.156198883580374</v>
          </cell>
          <cell r="I916">
            <v>7.6898092740741362</v>
          </cell>
        </row>
        <row r="917">
          <cell r="A917" t="str">
            <v>RHES-SHDEM</v>
          </cell>
          <cell r="B917" t="str">
            <v>VAR_fin</v>
          </cell>
          <cell r="C917" t="str">
            <v>RHES-SHCOA</v>
          </cell>
          <cell r="D917">
            <v>7.4416704723014357E-2</v>
          </cell>
          <cell r="E917">
            <v>7.1992268587666747E-2</v>
          </cell>
          <cell r="F917">
            <v>2.1547184375632706E-2</v>
          </cell>
          <cell r="G917">
            <v>4.8526207398105481E-3</v>
          </cell>
        </row>
        <row r="918">
          <cell r="A918" t="str">
            <v>RHES-SHDEM</v>
          </cell>
          <cell r="B918" t="str">
            <v>VAR_fin</v>
          </cell>
          <cell r="C918" t="str">
            <v>RHES-SHLFO</v>
          </cell>
          <cell r="D918">
            <v>21.675088680853285</v>
          </cell>
          <cell r="E918">
            <v>19.946192435071701</v>
          </cell>
          <cell r="F918">
            <v>14.417166565644182</v>
          </cell>
          <cell r="G918">
            <v>9.3765032539731461</v>
          </cell>
          <cell r="H918">
            <v>4.5244832433085049</v>
          </cell>
          <cell r="I918">
            <v>1.2357154907035044</v>
          </cell>
        </row>
        <row r="919">
          <cell r="A919" t="str">
            <v>RHES-SHDEM</v>
          </cell>
          <cell r="B919" t="str">
            <v>VAR_fin</v>
          </cell>
          <cell r="C919" t="str">
            <v>RHES-SHCON</v>
          </cell>
          <cell r="D919">
            <v>3.8493375420851732E-2</v>
          </cell>
          <cell r="E919">
            <v>3.7593588052578135</v>
          </cell>
          <cell r="F919">
            <v>2.2566871611555501</v>
          </cell>
          <cell r="G919">
            <v>4.0998228084386543</v>
          </cell>
          <cell r="H919">
            <v>7.5994880638223519</v>
          </cell>
          <cell r="I919">
            <v>10.812809739321663</v>
          </cell>
        </row>
        <row r="920">
          <cell r="A920" t="str">
            <v>RHES-SHDEM</v>
          </cell>
          <cell r="B920" t="str">
            <v>VAR_fin</v>
          </cell>
          <cell r="C920" t="str">
            <v>RHES-SHWOD</v>
          </cell>
          <cell r="D920">
            <v>4.3836807187084705</v>
          </cell>
          <cell r="E920">
            <v>5.0342638488898706</v>
          </cell>
          <cell r="F920">
            <v>5.2312364396436326</v>
          </cell>
          <cell r="G920">
            <v>4.6153355630556563</v>
          </cell>
          <cell r="H920">
            <v>3.3466384243840985</v>
          </cell>
          <cell r="I920">
            <v>2.3016104940426261</v>
          </cell>
        </row>
        <row r="921">
          <cell r="A921" t="str">
            <v>RHES-SHDEM</v>
          </cell>
          <cell r="B921" t="str">
            <v>VAR_fin</v>
          </cell>
          <cell r="C921" t="str">
            <v>RHES-SHLTHD</v>
          </cell>
          <cell r="D921">
            <v>3.1503682020683592</v>
          </cell>
          <cell r="E921">
            <v>3.5037882761059898</v>
          </cell>
          <cell r="F921">
            <v>1.4170682828620726</v>
          </cell>
          <cell r="G921">
            <v>1.5664969633256205</v>
          </cell>
          <cell r="H921">
            <v>1.5979074403373543</v>
          </cell>
          <cell r="I921">
            <v>1.5726395884292419</v>
          </cell>
        </row>
        <row r="922">
          <cell r="A922" t="str">
            <v>RHES-SHDEM</v>
          </cell>
          <cell r="B922" t="str">
            <v>VAR_fin</v>
          </cell>
          <cell r="C922" t="str">
            <v>RHES-SHELCB</v>
          </cell>
          <cell r="D922">
            <v>4.2765211079310879</v>
          </cell>
          <cell r="E922">
            <v>4.4886468480932029</v>
          </cell>
          <cell r="F922">
            <v>0.78641713000512492</v>
          </cell>
          <cell r="G922">
            <v>0.19152004989403926</v>
          </cell>
          <cell r="H922">
            <v>3.834971484241462E-3</v>
          </cell>
          <cell r="I922">
            <v>1.8883150593308059E-3</v>
          </cell>
        </row>
        <row r="923">
          <cell r="A923" t="str">
            <v>RHES-SHDEM</v>
          </cell>
          <cell r="B923" t="str">
            <v>VAR_fin</v>
          </cell>
          <cell r="C923" t="str">
            <v>RHES-SHELCH</v>
          </cell>
          <cell r="D923">
            <v>9.1540421146633033</v>
          </cell>
          <cell r="E923">
            <v>10.275900007403338</v>
          </cell>
          <cell r="F923">
            <v>19.480981610137384</v>
          </cell>
          <cell r="G923">
            <v>22.605580973819141</v>
          </cell>
          <cell r="H923">
            <v>25.406765269974819</v>
          </cell>
          <cell r="I923">
            <v>26.99050362465303</v>
          </cell>
        </row>
        <row r="924">
          <cell r="A924" t="str">
            <v>RHES-SHDEM</v>
          </cell>
          <cell r="B924" t="str">
            <v>VAR_fin</v>
          </cell>
          <cell r="C924" t="str">
            <v>RHES-SHNST</v>
          </cell>
          <cell r="D924">
            <v>5.9694643321499705E-6</v>
          </cell>
          <cell r="E924">
            <v>6.1638463500067237E-6</v>
          </cell>
        </row>
        <row r="925">
          <cell r="A925" t="str">
            <v>D-RHEM_LTH_CHPNGA</v>
          </cell>
          <cell r="B925" t="str">
            <v>VAR_fout</v>
          </cell>
          <cell r="C925" t="str">
            <v>RHSA_LTH</v>
          </cell>
          <cell r="D925">
            <v>3.0721387220884826E-3</v>
          </cell>
          <cell r="E925">
            <v>7.7308670904799973E-6</v>
          </cell>
          <cell r="F925">
            <v>1.696988985311859E-3</v>
          </cell>
          <cell r="G925">
            <v>0.15242132995299518</v>
          </cell>
          <cell r="H925">
            <v>0.63637243801498633</v>
          </cell>
          <cell r="I925">
            <v>1.0164298248712011</v>
          </cell>
        </row>
        <row r="926">
          <cell r="A926" t="str">
            <v>D-RHEM_LTH_CHPNGA</v>
          </cell>
          <cell r="B926" t="str">
            <v>VAR_fout</v>
          </cell>
          <cell r="C926" t="str">
            <v>RHEM_LTH_CHPNGA_ON</v>
          </cell>
          <cell r="D926">
            <v>4.9771754515337191E-2</v>
          </cell>
          <cell r="E926">
            <v>1.2773374056871917E-3</v>
          </cell>
          <cell r="F926">
            <v>1.2221422118599771E-5</v>
          </cell>
          <cell r="G926">
            <v>7.6294123798094804E-2</v>
          </cell>
          <cell r="H926">
            <v>0.58143790860121902</v>
          </cell>
          <cell r="I926">
            <v>0.22920603441387735</v>
          </cell>
        </row>
        <row r="927">
          <cell r="A927" t="str">
            <v>D-RHEM_LTH_CHPNGA</v>
          </cell>
          <cell r="B927" t="str">
            <v>VAR_fout</v>
          </cell>
          <cell r="C927" t="str">
            <v>LTH</v>
          </cell>
          <cell r="G927">
            <v>8.2640458750341108E-5</v>
          </cell>
          <cell r="H927">
            <v>2.9203360496806194E-3</v>
          </cell>
          <cell r="I927">
            <v>4.1840163983389482E-3</v>
          </cell>
        </row>
        <row r="928">
          <cell r="A928" t="str">
            <v>D-RHEM_LTH_CHPNGA</v>
          </cell>
          <cell r="B928" t="str">
            <v>VAR_fin</v>
          </cell>
          <cell r="C928" t="str">
            <v>RHEM_LTH_CHPNGA</v>
          </cell>
          <cell r="D928">
            <v>5.2843893237425686E-2</v>
          </cell>
          <cell r="E928">
            <v>1.285288866776061E-3</v>
          </cell>
          <cell r="F928">
            <v>1.7097923972336452E-3</v>
          </cell>
          <cell r="G928">
            <v>0.22879809420984026</v>
          </cell>
          <cell r="H928">
            <v>1.2207306826658857</v>
          </cell>
          <cell r="I928">
            <v>1.2498198756834162</v>
          </cell>
        </row>
        <row r="929">
          <cell r="A929" t="str">
            <v>RHEM-SHLTHCHPNGA</v>
          </cell>
          <cell r="B929" t="str">
            <v>VAR_fout</v>
          </cell>
          <cell r="C929" t="str">
            <v>RHEM-SHLTHC-NGA</v>
          </cell>
          <cell r="D929">
            <v>4.7821600619562442E-2</v>
          </cell>
          <cell r="E929">
            <v>1.2559906841090871E-3</v>
          </cell>
        </row>
        <row r="930">
          <cell r="A930" t="str">
            <v>RHEM-SHLTHCHPNGA</v>
          </cell>
          <cell r="B930" t="str">
            <v>VAR_fin</v>
          </cell>
          <cell r="C930" t="str">
            <v>RHEM_LTH_CHPNGA_ON</v>
          </cell>
          <cell r="D930">
            <v>4.8304647090467105E-2</v>
          </cell>
          <cell r="E930">
            <v>1.268677458696047E-3</v>
          </cell>
        </row>
        <row r="931">
          <cell r="A931" t="str">
            <v>RHEM-SHLTHCHPNGA</v>
          </cell>
          <cell r="B931" t="str">
            <v>VAR_fin</v>
          </cell>
          <cell r="C931" t="str">
            <v>RHEMLTHCHPC</v>
          </cell>
          <cell r="D931">
            <v>4.7821600619562442E-2</v>
          </cell>
          <cell r="E931">
            <v>1.2559906841090871E-3</v>
          </cell>
        </row>
        <row r="932">
          <cell r="A932" t="str">
            <v>RHEM-SHLTHCHPNGA</v>
          </cell>
          <cell r="B932" t="str">
            <v>VAR_ncap</v>
          </cell>
          <cell r="C932" t="str">
            <v>-</v>
          </cell>
          <cell r="D932">
            <v>2.5270383731310299E-6</v>
          </cell>
          <cell r="E932">
            <v>8.2967650145551199E-5</v>
          </cell>
          <cell r="F932">
            <v>2.4682084372099202E-4</v>
          </cell>
          <cell r="G932">
            <v>7.8262775954378895E-3</v>
          </cell>
          <cell r="H932">
            <v>1.0077778699147701E-2</v>
          </cell>
          <cell r="I932">
            <v>6.89210392414459E-3</v>
          </cell>
        </row>
        <row r="933">
          <cell r="A933" t="str">
            <v>RHEM-SHLTHCHPNGA</v>
          </cell>
          <cell r="B933" t="str">
            <v>VAR_cap</v>
          </cell>
          <cell r="C933" t="str">
            <v>-</v>
          </cell>
          <cell r="D933">
            <v>6.8007280369218603E-3</v>
          </cell>
          <cell r="E933">
            <v>1.4738211045626191E-4</v>
          </cell>
          <cell r="F933">
            <v>3.4337081926263339E-4</v>
          </cell>
          <cell r="G933">
            <v>8.0704426077297386E-3</v>
          </cell>
          <cell r="H933">
            <v>2.241010071271516E-2</v>
          </cell>
          <cell r="I933">
            <v>1.3303684527494669E-2</v>
          </cell>
        </row>
        <row r="934">
          <cell r="A934" t="str">
            <v>D-RHES_SOLELC</v>
          </cell>
          <cell r="B934" t="str">
            <v>VAR_fout</v>
          </cell>
          <cell r="C934" t="str">
            <v>RHES_ELC</v>
          </cell>
          <cell r="D934">
            <v>1.8794912976812057</v>
          </cell>
          <cell r="E934">
            <v>1.4457138314008771</v>
          </cell>
          <cell r="F934">
            <v>2.9331436146635941</v>
          </cell>
          <cell r="G934">
            <v>3.3323939840968149</v>
          </cell>
          <cell r="H934">
            <v>2.6134342739381973</v>
          </cell>
          <cell r="I934">
            <v>7.282084114273536E-4</v>
          </cell>
        </row>
        <row r="935">
          <cell r="A935" t="str">
            <v>D-RHES_SOLELC</v>
          </cell>
          <cell r="B935" t="str">
            <v>VAR_fout</v>
          </cell>
          <cell r="C935" t="str">
            <v>ELC5</v>
          </cell>
          <cell r="D935">
            <v>0.2554477910534565</v>
          </cell>
          <cell r="E935">
            <v>1.9449512329754317</v>
          </cell>
          <cell r="F935">
            <v>5.1131078144009932</v>
          </cell>
          <cell r="G935">
            <v>5.4453036795963987</v>
          </cell>
          <cell r="H935">
            <v>3.3683225784578941</v>
          </cell>
          <cell r="I935">
            <v>7.2957075856246525E-4</v>
          </cell>
        </row>
        <row r="936">
          <cell r="A936" t="str">
            <v>D-RHES_SOLELC</v>
          </cell>
          <cell r="B936" t="str">
            <v>VAR_fin</v>
          </cell>
          <cell r="C936" t="str">
            <v>RHES_SOL_ELC</v>
          </cell>
          <cell r="D936">
            <v>2.1349390887346629</v>
          </cell>
          <cell r="E936">
            <v>3.3906652125216228</v>
          </cell>
          <cell r="F936">
            <v>8.0462514290645828</v>
          </cell>
          <cell r="G936">
            <v>8.7776955256944582</v>
          </cell>
          <cell r="H936">
            <v>5.9817529193085841</v>
          </cell>
          <cell r="I936">
            <v>1.4529089960925695E-3</v>
          </cell>
        </row>
        <row r="937">
          <cell r="A937" t="str">
            <v>D-DH2</v>
          </cell>
          <cell r="B937" t="str">
            <v>VAR_fout</v>
          </cell>
          <cell r="C937" t="str">
            <v>H2</v>
          </cell>
          <cell r="G937">
            <v>4.2243627321486003E-8</v>
          </cell>
          <cell r="H937">
            <v>8.096212852761922E-2</v>
          </cell>
          <cell r="I937">
            <v>0.89032703789644529</v>
          </cell>
        </row>
        <row r="938">
          <cell r="A938" t="str">
            <v>D-DH2</v>
          </cell>
          <cell r="B938" t="str">
            <v>VAR_fin</v>
          </cell>
          <cell r="C938" t="str">
            <v>H2_E</v>
          </cell>
          <cell r="G938">
            <v>4.2670330627763398E-8</v>
          </cell>
          <cell r="H938">
            <v>8.177992780567607E-2</v>
          </cell>
          <cell r="I938">
            <v>0.89932024029943902</v>
          </cell>
        </row>
        <row r="939">
          <cell r="A939" t="str">
            <v>D-DH2</v>
          </cell>
          <cell r="B939" t="str">
            <v>VAR_ncap</v>
          </cell>
          <cell r="C939" t="str">
            <v>-</v>
          </cell>
          <cell r="G939">
            <v>1.50269528211797E-5</v>
          </cell>
          <cell r="H939">
            <v>1.0817133783782001E-2</v>
          </cell>
          <cell r="I939">
            <v>0.10869790031749001</v>
          </cell>
        </row>
        <row r="940">
          <cell r="A940" t="str">
            <v>D-DH2</v>
          </cell>
          <cell r="B940" t="str">
            <v>VAR_cap</v>
          </cell>
          <cell r="C940" t="str">
            <v>-</v>
          </cell>
          <cell r="G940">
            <v>1.50269528211797E-5</v>
          </cell>
          <cell r="H940">
            <v>1.0852583702177799E-2</v>
          </cell>
          <cell r="I940">
            <v>0.119550484019668</v>
          </cell>
        </row>
        <row r="941">
          <cell r="A941" t="str">
            <v>ITOT-SWHHFOBR</v>
          </cell>
          <cell r="B941" t="str">
            <v>VAR_fout</v>
          </cell>
          <cell r="C941" t="str">
            <v>ITOT-SWH</v>
          </cell>
          <cell r="D941">
            <v>1.8458219573550838</v>
          </cell>
          <cell r="E941">
            <v>1.5211411750653682E-4</v>
          </cell>
          <cell r="F941">
            <v>4.4914386746271358E-4</v>
          </cell>
          <cell r="G941">
            <v>3.0291312406761879E-4</v>
          </cell>
          <cell r="H941">
            <v>2.4987647722882048E-4</v>
          </cell>
        </row>
        <row r="942">
          <cell r="A942" t="str">
            <v>ITOT-SWHHFOBR</v>
          </cell>
          <cell r="B942" t="str">
            <v>VAR_fout</v>
          </cell>
          <cell r="C942" t="str">
            <v>CO2_I</v>
          </cell>
          <cell r="D942">
            <v>210.210080556615</v>
          </cell>
          <cell r="E942">
            <v>1.7248784401742601E-2</v>
          </cell>
          <cell r="F942">
            <v>5.0603131661094002E-2</v>
          </cell>
          <cell r="G942">
            <v>3.3766645752018203E-2</v>
          </cell>
          <cell r="H942">
            <v>2.7276964375855701E-2</v>
          </cell>
        </row>
        <row r="943">
          <cell r="A943" t="str">
            <v>ITOT-SWHHFOBR</v>
          </cell>
          <cell r="B943" t="str">
            <v>VAR_fin</v>
          </cell>
          <cell r="C943" t="str">
            <v>IHFO</v>
          </cell>
          <cell r="D943">
            <v>2.7300010461898081</v>
          </cell>
          <cell r="E943">
            <v>2.2401018703561865E-4</v>
          </cell>
          <cell r="F943">
            <v>6.5718352806615665E-4</v>
          </cell>
          <cell r="G943">
            <v>4.3852786690932826E-4</v>
          </cell>
          <cell r="H943">
            <v>3.5424629059552828E-4</v>
          </cell>
        </row>
        <row r="944">
          <cell r="A944" t="str">
            <v>ITOT-SWHHFOBR</v>
          </cell>
          <cell r="B944" t="str">
            <v>VAR_ncap</v>
          </cell>
          <cell r="C944" t="str">
            <v>-</v>
          </cell>
          <cell r="D944">
            <v>5.6926284010917401E-5</v>
          </cell>
          <cell r="E944">
            <v>4.4744503123409903E-6</v>
          </cell>
          <cell r="F944">
            <v>3.0153961672334899E-5</v>
          </cell>
          <cell r="G944">
            <v>6.5034426033394297E-6</v>
          </cell>
          <cell r="H944">
            <v>6.3233170784793702E-6</v>
          </cell>
          <cell r="I944">
            <v>3.2434841210569799E-7</v>
          </cell>
        </row>
        <row r="945">
          <cell r="A945" t="str">
            <v>ITOT-SWHHFOBR</v>
          </cell>
          <cell r="B945" t="str">
            <v>VAR_cap</v>
          </cell>
          <cell r="C945" t="str">
            <v>-</v>
          </cell>
          <cell r="D945">
            <v>0.10077392628401091</v>
          </cell>
          <cell r="E945">
            <v>1.4507346235259622E-5</v>
          </cell>
          <cell r="F945">
            <v>4.2396871231586974E-5</v>
          </cell>
          <cell r="G945">
            <v>2.8767650991939897E-5</v>
          </cell>
          <cell r="H945">
            <v>2.369903023920596E-5</v>
          </cell>
          <cell r="I945">
            <v>-8.8087513152710014E-7</v>
          </cell>
        </row>
        <row r="946">
          <cell r="A946" t="str">
            <v>RHSA-WHSTG-ELCHP</v>
          </cell>
          <cell r="B946" t="str">
            <v>VAR_fout</v>
          </cell>
          <cell r="C946" t="str">
            <v>RHSA-WHAELCH</v>
          </cell>
          <cell r="D946">
            <v>1.8645705375866509E-7</v>
          </cell>
          <cell r="E946">
            <v>3.0993823088749917E-7</v>
          </cell>
          <cell r="F946">
            <v>0.11078989060115307</v>
          </cell>
          <cell r="G946">
            <v>0.1802952783002538</v>
          </cell>
          <cell r="H946">
            <v>0.35527605783262001</v>
          </cell>
          <cell r="I946">
            <v>0.46257622633467083</v>
          </cell>
        </row>
        <row r="947">
          <cell r="A947" t="str">
            <v>RHSA-WHSTG-ELCHP</v>
          </cell>
          <cell r="B947" t="str">
            <v>VAR_fin</v>
          </cell>
          <cell r="C947" t="str">
            <v>RHSA-WHAELCH</v>
          </cell>
          <cell r="D947">
            <v>4.8601283638952282E-6</v>
          </cell>
          <cell r="E947">
            <v>3.3383793871487322E-7</v>
          </cell>
          <cell r="F947">
            <v>0.1107915454702141</v>
          </cell>
          <cell r="G947">
            <v>0.18029791743251788</v>
          </cell>
          <cell r="H947">
            <v>0.35528614097073097</v>
          </cell>
          <cell r="I947">
            <v>0.46258677881557769</v>
          </cell>
        </row>
        <row r="948">
          <cell r="A948" t="str">
            <v>RHSA-WHSTG-ELCHP</v>
          </cell>
          <cell r="B948" t="str">
            <v>VAR_ncap</v>
          </cell>
          <cell r="C948" t="str">
            <v>-</v>
          </cell>
          <cell r="D948">
            <v>3.1486243460743901E-3</v>
          </cell>
          <cell r="E948">
            <v>5.50079909842262E-2</v>
          </cell>
          <cell r="F948">
            <v>1.5035748087241301E-2</v>
          </cell>
          <cell r="G948">
            <v>3.3922373111973297E-2</v>
          </cell>
          <cell r="H948">
            <v>7.7618889380180606E-2</v>
          </cell>
          <cell r="I948">
            <v>0.13369001120232599</v>
          </cell>
        </row>
        <row r="949">
          <cell r="A949" t="str">
            <v>RHSA-WHSTG-ELCHP</v>
          </cell>
          <cell r="B949" t="str">
            <v>VAR_cap</v>
          </cell>
          <cell r="C949" t="str">
            <v>-</v>
          </cell>
          <cell r="D949">
            <v>3.1498638754774788E-3</v>
          </cell>
          <cell r="E949">
            <v>5.8145211847464739E-2</v>
          </cell>
          <cell r="F949">
            <v>7.3172542902573148E-2</v>
          </cell>
          <cell r="G949">
            <v>0.10708445405378042</v>
          </cell>
          <cell r="H949">
            <v>0.1644557798715893</v>
          </cell>
          <cell r="I949">
            <v>0.21581838745966317</v>
          </cell>
        </row>
        <row r="950">
          <cell r="A950" t="str">
            <v>RES-ELCSPECADV</v>
          </cell>
          <cell r="B950" t="str">
            <v>VAR_ncap</v>
          </cell>
          <cell r="C950" t="str">
            <v>-</v>
          </cell>
          <cell r="F950">
            <v>5.6823653706427098E-8</v>
          </cell>
          <cell r="G950">
            <v>7.9730487253317306E-8</v>
          </cell>
          <cell r="H950">
            <v>3.4725940178066903E-8</v>
          </cell>
          <cell r="I950">
            <v>4.8861125060078902E-8</v>
          </cell>
        </row>
        <row r="951">
          <cell r="A951" t="str">
            <v>RES-ELCSPECADV</v>
          </cell>
          <cell r="B951" t="str">
            <v>VAR_cap</v>
          </cell>
          <cell r="C951" t="str">
            <v>-</v>
          </cell>
          <cell r="F951">
            <v>5.6823653706427098E-8</v>
          </cell>
          <cell r="G951">
            <v>8.57277476448565E-8</v>
          </cell>
          <cell r="H951">
            <v>1.4844547139414022E-8</v>
          </cell>
          <cell r="I951">
            <v>9.5132637824396007E-8</v>
          </cell>
        </row>
        <row r="952">
          <cell r="A952" t="str">
            <v>ITOT-SWHSTG-ELCHP</v>
          </cell>
          <cell r="B952" t="str">
            <v>VAR_fout</v>
          </cell>
          <cell r="C952" t="str">
            <v>ITOT-SWHAELCH</v>
          </cell>
          <cell r="D952">
            <v>2.1280269560513467E-5</v>
          </cell>
          <cell r="E952">
            <v>1.0166361644752191E-5</v>
          </cell>
          <cell r="F952">
            <v>2.1755527984372042E-3</v>
          </cell>
          <cell r="G952">
            <v>8.2658586302641001E-4</v>
          </cell>
          <cell r="H952">
            <v>2.2808961879458325E-2</v>
          </cell>
          <cell r="I952">
            <v>2.3978111850188524E-2</v>
          </cell>
        </row>
        <row r="953">
          <cell r="A953" t="str">
            <v>ITOT-SWHSTG-ELCHP</v>
          </cell>
          <cell r="B953" t="str">
            <v>VAR_fin</v>
          </cell>
          <cell r="C953" t="str">
            <v>ITOT-SWHAELCH</v>
          </cell>
          <cell r="D953">
            <v>2.9712274631337741E-5</v>
          </cell>
          <cell r="E953">
            <v>1.3824715620301097E-5</v>
          </cell>
          <cell r="F953">
            <v>2.8188266549295264E-3</v>
          </cell>
          <cell r="G953">
            <v>1.0442369261916438E-3</v>
          </cell>
          <cell r="H953">
            <v>2.6848602239357325E-2</v>
          </cell>
          <cell r="I953">
            <v>2.6653158586015989E-2</v>
          </cell>
        </row>
        <row r="954">
          <cell r="A954" t="str">
            <v>ITOT-SWHSTG-ELCHP</v>
          </cell>
          <cell r="B954" t="str">
            <v>VAR_ncap</v>
          </cell>
          <cell r="C954" t="str">
            <v>-</v>
          </cell>
          <cell r="D954">
            <v>7.3832292980292201E-3</v>
          </cell>
          <cell r="E954">
            <v>1.05923070376967E-2</v>
          </cell>
          <cell r="F954">
            <v>9.7961295996099491E-3</v>
          </cell>
          <cell r="G954">
            <v>2.9088333050232302E-3</v>
          </cell>
          <cell r="H954">
            <v>2.22830603563909E-2</v>
          </cell>
          <cell r="I954">
            <v>2.4074567309015301E-2</v>
          </cell>
        </row>
        <row r="955">
          <cell r="A955" t="str">
            <v>ITOT-SWHSTG-ELCHP</v>
          </cell>
          <cell r="B955" t="str">
            <v>VAR_cap</v>
          </cell>
          <cell r="C955" t="str">
            <v>-</v>
          </cell>
          <cell r="D955">
            <v>7.3832292980292201E-3</v>
          </cell>
          <cell r="E955">
            <v>1.7937623123168728E-2</v>
          </cell>
          <cell r="F955">
            <v>2.7724103253886224E-2</v>
          </cell>
          <cell r="G955">
            <v>3.0629882624992312E-2</v>
          </cell>
          <cell r="H955">
            <v>4.835965489069715E-2</v>
          </cell>
          <cell r="I955">
            <v>4.9694361480742383E-2</v>
          </cell>
        </row>
        <row r="956">
          <cell r="A956" t="str">
            <v>D-RHNS_LTH_CHPWOD</v>
          </cell>
          <cell r="B956" t="str">
            <v>VAR_fout</v>
          </cell>
          <cell r="C956" t="str">
            <v>RHNS_LTH_CHPWOD_ON</v>
          </cell>
          <cell r="D956">
            <v>5.268237361530535E-6</v>
          </cell>
          <cell r="E956">
            <v>3.8997119104315314E-6</v>
          </cell>
          <cell r="F956">
            <v>1.0201785240734636E-6</v>
          </cell>
          <cell r="H956">
            <v>1.9641189394090848E-4</v>
          </cell>
        </row>
        <row r="957">
          <cell r="A957" t="str">
            <v>D-RHNS_LTH_CHPWOD</v>
          </cell>
          <cell r="B957" t="str">
            <v>VAR_fout</v>
          </cell>
          <cell r="C957" t="str">
            <v>RHSA_LTH</v>
          </cell>
          <cell r="D957">
            <v>4.8623682160512414E-6</v>
          </cell>
          <cell r="E957">
            <v>9.0477138590444169E-6</v>
          </cell>
          <cell r="F957">
            <v>4.2425583610852834E-6</v>
          </cell>
          <cell r="G957">
            <v>6.5604563270284407E-4</v>
          </cell>
          <cell r="H957">
            <v>2.3404756477400353E-4</v>
          </cell>
          <cell r="I957">
            <v>2.2045864698096729E-4</v>
          </cell>
        </row>
        <row r="958">
          <cell r="A958" t="str">
            <v>D-RHNS_LTH_CHPWOD</v>
          </cell>
          <cell r="B958" t="str">
            <v>VAR_fin</v>
          </cell>
          <cell r="C958" t="str">
            <v>RHNS_LTH_CHPWOD</v>
          </cell>
          <cell r="D958">
            <v>1.0130605577581775E-5</v>
          </cell>
          <cell r="E958">
            <v>1.3202455639301102E-5</v>
          </cell>
          <cell r="F958">
            <v>5.5495513323790814E-6</v>
          </cell>
          <cell r="G958">
            <v>6.5648108315898913E-4</v>
          </cell>
          <cell r="H958">
            <v>4.3104873609241772E-4</v>
          </cell>
          <cell r="I958">
            <v>2.2092293170451998E-4</v>
          </cell>
        </row>
        <row r="959">
          <cell r="A959" t="str">
            <v>D-SBIO</v>
          </cell>
          <cell r="B959" t="str">
            <v>VAR_fout</v>
          </cell>
          <cell r="C959" t="str">
            <v>SBIO</v>
          </cell>
          <cell r="D959">
            <v>4.0476529705175457</v>
          </cell>
          <cell r="E959">
            <v>4.5833321174705732</v>
          </cell>
          <cell r="F959">
            <v>3.0421420061964355</v>
          </cell>
          <cell r="G959">
            <v>3.0322965969739273</v>
          </cell>
          <cell r="H959">
            <v>2.9495800149155924</v>
          </cell>
          <cell r="I959">
            <v>2.8713306201170341</v>
          </cell>
        </row>
        <row r="960">
          <cell r="A960" t="str">
            <v>D-SBIO</v>
          </cell>
          <cell r="B960" t="str">
            <v>VAR_fin</v>
          </cell>
          <cell r="C960" t="str">
            <v>BIO</v>
          </cell>
          <cell r="D960">
            <v>4.0476529705175457</v>
          </cell>
          <cell r="E960">
            <v>4.5833321174705732</v>
          </cell>
          <cell r="F960">
            <v>3.0421420061964355</v>
          </cell>
          <cell r="G960">
            <v>3.0322965969739273</v>
          </cell>
          <cell r="H960">
            <v>2.9495800149155924</v>
          </cell>
          <cell r="I960">
            <v>2.8713306201170341</v>
          </cell>
        </row>
        <row r="961">
          <cell r="A961" t="str">
            <v>RHEM-SHDEM</v>
          </cell>
          <cell r="B961" t="str">
            <v>VAR_fout</v>
          </cell>
          <cell r="C961" t="str">
            <v>RHEM-SHD</v>
          </cell>
          <cell r="D961">
            <v>66.986774791699034</v>
          </cell>
          <cell r="E961">
            <v>66.782026660973088</v>
          </cell>
          <cell r="F961">
            <v>66.558528916886004</v>
          </cell>
          <cell r="G961">
            <v>65.190052316033743</v>
          </cell>
          <cell r="H961">
            <v>62.487650385889893</v>
          </cell>
          <cell r="I961">
            <v>60.757838643573962</v>
          </cell>
        </row>
        <row r="962">
          <cell r="A962" t="str">
            <v>RHEM-SHDEM</v>
          </cell>
          <cell r="B962" t="str">
            <v>VAR_fin</v>
          </cell>
          <cell r="C962" t="str">
            <v>RHEM-SHNST</v>
          </cell>
          <cell r="D962">
            <v>1.0874594847019185E-4</v>
          </cell>
          <cell r="E962">
            <v>7.8338434922751528E-6</v>
          </cell>
        </row>
        <row r="963">
          <cell r="A963" t="str">
            <v>RHEM-SHDEM</v>
          </cell>
          <cell r="B963" t="str">
            <v>VAR_fin</v>
          </cell>
          <cell r="C963" t="str">
            <v>RHEM-SHPLT</v>
          </cell>
          <cell r="D963">
            <v>1.4009710845277796</v>
          </cell>
          <cell r="E963">
            <v>1.6077890526049938</v>
          </cell>
          <cell r="F963">
            <v>0.29617916470039474</v>
          </cell>
          <cell r="G963">
            <v>0.49665557687505646</v>
          </cell>
          <cell r="H963">
            <v>0.75520630550015555</v>
          </cell>
          <cell r="I963">
            <v>0.93330482838264583</v>
          </cell>
        </row>
        <row r="964">
          <cell r="A964" t="str">
            <v>RHEM-SHDEM</v>
          </cell>
          <cell r="B964" t="str">
            <v>VAR_fin</v>
          </cell>
          <cell r="C964" t="str">
            <v>RHEM-SHNGAH</v>
          </cell>
          <cell r="D964">
            <v>6.2157782172502407E-5</v>
          </cell>
          <cell r="E964">
            <v>6.8501598043913254E-6</v>
          </cell>
          <cell r="F964">
            <v>2.0289196002531917</v>
          </cell>
          <cell r="G964">
            <v>4.2490603013858337</v>
          </cell>
          <cell r="H964">
            <v>6.7250275389149197</v>
          </cell>
          <cell r="I964">
            <v>9.0173264531159365</v>
          </cell>
        </row>
        <row r="965">
          <cell r="A965" t="str">
            <v>RHEM-SHDEM</v>
          </cell>
          <cell r="B965" t="str">
            <v>VAR_fin</v>
          </cell>
          <cell r="C965" t="str">
            <v>RHEM-SHLTHC-WOD</v>
          </cell>
          <cell r="D965">
            <v>5.6356358475593143E-5</v>
          </cell>
          <cell r="E965">
            <v>5.8660134373323247E-6</v>
          </cell>
        </row>
        <row r="966">
          <cell r="A966" t="str">
            <v>RHEM-SHDEM</v>
          </cell>
          <cell r="B966" t="str">
            <v>VAR_fin</v>
          </cell>
          <cell r="C966" t="str">
            <v>RHEM-SHSOL</v>
          </cell>
          <cell r="D966">
            <v>0.40808448281048831</v>
          </cell>
          <cell r="E966">
            <v>0.47088359522189782</v>
          </cell>
          <cell r="F966">
            <v>9.1653504794823402E-3</v>
          </cell>
          <cell r="G966">
            <v>1.1341781160132588E-2</v>
          </cell>
          <cell r="H966">
            <v>1.2943612540617488E-2</v>
          </cell>
          <cell r="I966">
            <v>1.3152590658408774E-2</v>
          </cell>
        </row>
        <row r="967">
          <cell r="A967" t="str">
            <v>RHEM-SHDEM</v>
          </cell>
          <cell r="B967" t="str">
            <v>VAR_fin</v>
          </cell>
          <cell r="C967" t="str">
            <v>RHEM-SHLTHD</v>
          </cell>
          <cell r="D967">
            <v>3.402214806494178</v>
          </cell>
          <cell r="E967">
            <v>3.7887173700159202</v>
          </cell>
          <cell r="F967">
            <v>4.3783943078879686</v>
          </cell>
          <cell r="G967">
            <v>4.7961700258270001</v>
          </cell>
          <cell r="H967">
            <v>4.8369204911560262</v>
          </cell>
          <cell r="I967">
            <v>4.7525047422027278</v>
          </cell>
        </row>
        <row r="968">
          <cell r="A968" t="str">
            <v>RHEM-SHDEM</v>
          </cell>
          <cell r="B968" t="str">
            <v>VAR_fin</v>
          </cell>
          <cell r="C968" t="str">
            <v>RHEM-SHNGA</v>
          </cell>
          <cell r="D968">
            <v>18.999180768982299</v>
          </cell>
          <cell r="E968">
            <v>19.236509463262379</v>
          </cell>
          <cell r="F968">
            <v>22.068577649671155</v>
          </cell>
          <cell r="G968">
            <v>18.695995652596601</v>
          </cell>
          <cell r="H968">
            <v>11.285973179295592</v>
          </cell>
          <cell r="I968">
            <v>4.9828163659036075</v>
          </cell>
        </row>
        <row r="969">
          <cell r="A969" t="str">
            <v>RHEM-SHDEM</v>
          </cell>
          <cell r="B969" t="str">
            <v>VAR_fin</v>
          </cell>
          <cell r="C969" t="str">
            <v>RHEM-SHELCB</v>
          </cell>
          <cell r="D969">
            <v>4.6278442169469463</v>
          </cell>
          <cell r="E969">
            <v>1.7921997306931854</v>
          </cell>
          <cell r="F969">
            <v>3.7043406671078784E-2</v>
          </cell>
          <cell r="G969">
            <v>1.278653780874364E-2</v>
          </cell>
          <cell r="H969">
            <v>4.1920971899895958E-3</v>
          </cell>
          <cell r="I969">
            <v>3.5908441743004336E-3</v>
          </cell>
        </row>
        <row r="970">
          <cell r="A970" t="str">
            <v>RHEM-SHDEM</v>
          </cell>
          <cell r="B970" t="str">
            <v>VAR_fin</v>
          </cell>
          <cell r="C970" t="str">
            <v>RHEM-SHELCH</v>
          </cell>
          <cell r="D970">
            <v>9.9023304962089753</v>
          </cell>
          <cell r="E970">
            <v>11.655187377901559</v>
          </cell>
          <cell r="F970">
            <v>9.4691052826388304</v>
          </cell>
          <cell r="G970">
            <v>12.900849676543878</v>
          </cell>
          <cell r="H970">
            <v>16.967550143233645</v>
          </cell>
          <cell r="I970">
            <v>20.84932989854331</v>
          </cell>
        </row>
        <row r="971">
          <cell r="A971" t="str">
            <v>RHEM-SHDEM</v>
          </cell>
          <cell r="B971" t="str">
            <v>VAR_fin</v>
          </cell>
          <cell r="C971" t="str">
            <v>RHEM-SHLFO</v>
          </cell>
          <cell r="D971">
            <v>23.443510680099038</v>
          </cell>
          <cell r="E971">
            <v>19.081060022943475</v>
          </cell>
          <cell r="F971">
            <v>20.426562892495035</v>
          </cell>
          <cell r="G971">
            <v>13.824590394458561</v>
          </cell>
          <cell r="H971">
            <v>7.745905486402183</v>
          </cell>
          <cell r="I971">
            <v>2.5412750199864145</v>
          </cell>
        </row>
        <row r="972">
          <cell r="A972" t="str">
            <v>RHEM-SHDEM</v>
          </cell>
          <cell r="B972" t="str">
            <v>VAR_fin</v>
          </cell>
          <cell r="C972" t="str">
            <v>RHEM-SHCON</v>
          </cell>
          <cell r="D972">
            <v>1.1065567960139962E-2</v>
          </cell>
          <cell r="E972">
            <v>4.7630658356311484</v>
          </cell>
          <cell r="F972">
            <v>2.8613457668032831</v>
          </cell>
          <cell r="G972">
            <v>5.1409084318775324</v>
          </cell>
          <cell r="H972">
            <v>9.3756393654585839</v>
          </cell>
          <cell r="I972">
            <v>13.224740588563078</v>
          </cell>
        </row>
        <row r="973">
          <cell r="A973" t="str">
            <v>RHEM-SHDEM</v>
          </cell>
          <cell r="B973" t="str">
            <v>VAR_fin</v>
          </cell>
          <cell r="C973" t="str">
            <v>RHEM-SHWOD</v>
          </cell>
          <cell r="D973">
            <v>4.7437397236420829</v>
          </cell>
          <cell r="E973">
            <v>4.3854927758138347</v>
          </cell>
          <cell r="F973">
            <v>4.9834029986918118</v>
          </cell>
          <cell r="G973">
            <v>5.0618251642011272</v>
          </cell>
          <cell r="H973">
            <v>4.7784131502954725</v>
          </cell>
          <cell r="I973">
            <v>4.4398960028024392</v>
          </cell>
        </row>
        <row r="974">
          <cell r="A974" t="str">
            <v>RHEM-SHDEM</v>
          </cell>
          <cell r="B974" t="str">
            <v>VAR_fin</v>
          </cell>
          <cell r="C974" t="str">
            <v>RHEM-SHLTHC-NGA</v>
          </cell>
          <cell r="D974">
            <v>4.7769283193563772E-2</v>
          </cell>
          <cell r="E974">
            <v>1.25684436119225E-3</v>
          </cell>
        </row>
        <row r="975">
          <cell r="A975" t="str">
            <v>ITOT-SWHH2BR</v>
          </cell>
          <cell r="B975" t="str">
            <v>VAR_fout</v>
          </cell>
          <cell r="C975" t="str">
            <v>ITOT-SWH</v>
          </cell>
          <cell r="G975">
            <v>0.30713761544168189</v>
          </cell>
          <cell r="H975">
            <v>2.613058069605549</v>
          </cell>
          <cell r="I975">
            <v>6.5448503497368637</v>
          </cell>
        </row>
        <row r="976">
          <cell r="A976" t="str">
            <v>ITOT-SWHH2BR</v>
          </cell>
          <cell r="B976" t="str">
            <v>VAR_fin</v>
          </cell>
          <cell r="C976" t="str">
            <v>IH2</v>
          </cell>
          <cell r="G976">
            <v>0.38153583168906158</v>
          </cell>
          <cell r="H976">
            <v>3.2318770392735909</v>
          </cell>
          <cell r="I976">
            <v>8.0596685218816351</v>
          </cell>
        </row>
        <row r="977">
          <cell r="A977" t="str">
            <v>ITOT-SWHH2BR</v>
          </cell>
          <cell r="B977" t="str">
            <v>VAR_ncap</v>
          </cell>
          <cell r="C977" t="str">
            <v>-</v>
          </cell>
          <cell r="G977">
            <v>2.5036559031230098E-2</v>
          </cell>
          <cell r="H977">
            <v>0.123842015558217</v>
          </cell>
          <cell r="I977">
            <v>0.44384346649415002</v>
          </cell>
        </row>
        <row r="978">
          <cell r="A978" t="str">
            <v>ITOT-SWHH2BR</v>
          </cell>
          <cell r="B978" t="str">
            <v>VAR_cap</v>
          </cell>
          <cell r="C978" t="str">
            <v>-</v>
          </cell>
          <cell r="G978">
            <v>2.5036559031230098E-2</v>
          </cell>
          <cell r="H978">
            <v>0.22821873069187229</v>
          </cell>
          <cell r="I978">
            <v>0.57063584527291744</v>
          </cell>
        </row>
        <row r="979">
          <cell r="A979" t="str">
            <v>RHNS-SHSTG-ELC</v>
          </cell>
          <cell r="B979" t="str">
            <v>VAR_fout</v>
          </cell>
          <cell r="C979" t="str">
            <v>RHNS-SHAELCB</v>
          </cell>
          <cell r="E979">
            <v>1.5042311744492711E-6</v>
          </cell>
          <cell r="F979">
            <v>1.8732621374842255E-3</v>
          </cell>
          <cell r="G979">
            <v>3.2073254875974334E-3</v>
          </cell>
          <cell r="H979">
            <v>6.15844634036868E-3</v>
          </cell>
          <cell r="I979">
            <v>4.3826588727699329E-3</v>
          </cell>
        </row>
        <row r="980">
          <cell r="A980" t="str">
            <v>RHNS-SHSTG-ELC</v>
          </cell>
          <cell r="B980" t="str">
            <v>VAR_fin</v>
          </cell>
          <cell r="C980" t="str">
            <v>RHNS-SHAELCB</v>
          </cell>
          <cell r="E980">
            <v>2.4022846137809328E-7</v>
          </cell>
          <cell r="F980">
            <v>1.8711414510653133E-3</v>
          </cell>
          <cell r="G980">
            <v>3.2051421540576545E-3</v>
          </cell>
          <cell r="H980">
            <v>6.16445729530823E-3</v>
          </cell>
          <cell r="I980">
            <v>4.3863229732761782E-3</v>
          </cell>
        </row>
        <row r="981">
          <cell r="A981" t="str">
            <v>RHNS-SHSTG-ELC</v>
          </cell>
          <cell r="B981" t="str">
            <v>VAR_ncap</v>
          </cell>
          <cell r="C981" t="str">
            <v>-</v>
          </cell>
          <cell r="D981">
            <v>1.8401869083939701E-5</v>
          </cell>
          <cell r="E981">
            <v>8.5698470561001397E-4</v>
          </cell>
          <cell r="F981">
            <v>2.72227847515412E-5</v>
          </cell>
          <cell r="G981">
            <v>1.3301498742624199E-5</v>
          </cell>
          <cell r="H981">
            <v>1.16331869468041E-5</v>
          </cell>
          <cell r="I981">
            <v>1.1704501424114E-5</v>
          </cell>
        </row>
        <row r="982">
          <cell r="A982" t="str">
            <v>RHNS-SHSTG-ELC</v>
          </cell>
          <cell r="B982" t="str">
            <v>VAR_cap</v>
          </cell>
          <cell r="C982" t="str">
            <v>-</v>
          </cell>
          <cell r="D982">
            <v>1.8401869083939701E-5</v>
          </cell>
          <cell r="E982">
            <v>8.7349388015308912E-4</v>
          </cell>
          <cell r="F982">
            <v>8.951153576471243E-4</v>
          </cell>
          <cell r="G982">
            <v>8.9479040247771361E-4</v>
          </cell>
          <cell r="H982">
            <v>9.8635101085514524E-4</v>
          </cell>
          <cell r="I982">
            <v>4.1738190886559398E-4</v>
          </cell>
        </row>
        <row r="983">
          <cell r="A983" t="str">
            <v>RHES-SHCOABR</v>
          </cell>
          <cell r="B983" t="str">
            <v>VAR_fout</v>
          </cell>
          <cell r="C983" t="str">
            <v>CO2_R</v>
          </cell>
          <cell r="D983">
            <v>9.27002383197431</v>
          </cell>
          <cell r="E983">
            <v>9.2700116423689494</v>
          </cell>
          <cell r="F983">
            <v>2.4985298449806099</v>
          </cell>
          <cell r="G983">
            <v>0.56189103066610602</v>
          </cell>
        </row>
        <row r="984">
          <cell r="A984" t="str">
            <v>RHES-SHCOABR</v>
          </cell>
          <cell r="B984" t="str">
            <v>VAR_fout</v>
          </cell>
          <cell r="C984" t="str">
            <v>RHES-SHCOA</v>
          </cell>
          <cell r="D984">
            <v>7.200018510271311E-2</v>
          </cell>
          <cell r="E984">
            <v>7.2000090426166632E-2</v>
          </cell>
          <cell r="F984">
            <v>2.1543436791430167E-2</v>
          </cell>
          <cell r="G984">
            <v>4.8485748835640158E-3</v>
          </cell>
        </row>
        <row r="985">
          <cell r="A985" t="str">
            <v>RHES-SHCOABR</v>
          </cell>
          <cell r="B985" t="str">
            <v>VAR_fin</v>
          </cell>
          <cell r="C985" t="str">
            <v>RCOA</v>
          </cell>
          <cell r="D985">
            <v>0.10000025708710156</v>
          </cell>
          <cell r="E985">
            <v>0.10000012559189816</v>
          </cell>
          <cell r="F985">
            <v>2.6952857011657113E-2</v>
          </cell>
          <cell r="G985">
            <v>6.0613919165707179E-3</v>
          </cell>
        </row>
        <row r="986">
          <cell r="A986" t="str">
            <v>RHES-SHCOABR</v>
          </cell>
          <cell r="B986" t="str">
            <v>VAR_cap</v>
          </cell>
          <cell r="C986" t="str">
            <v>-</v>
          </cell>
          <cell r="D986">
            <v>7.0000000000000001E-3</v>
          </cell>
          <cell r="E986">
            <v>6.2914693569453639E-3</v>
          </cell>
          <cell r="F986">
            <v>2.05379730807447E-3</v>
          </cell>
          <cell r="G986">
            <v>5.2879251103048024E-4</v>
          </cell>
        </row>
        <row r="987">
          <cell r="A987" t="str">
            <v>D-INGA</v>
          </cell>
          <cell r="B987" t="str">
            <v>VAR_fout</v>
          </cell>
          <cell r="C987" t="str">
            <v>CO2</v>
          </cell>
          <cell r="D987">
            <v>2101.49102029609</v>
          </cell>
          <cell r="E987">
            <v>1805.3934043721799</v>
          </cell>
          <cell r="F987">
            <v>1813.56144452694</v>
          </cell>
          <cell r="G987">
            <v>1647.6300411707</v>
          </cell>
          <cell r="H987">
            <v>736.94999161928104</v>
          </cell>
          <cell r="I987">
            <v>121.885506347225</v>
          </cell>
        </row>
        <row r="988">
          <cell r="A988" t="str">
            <v>D-INGA</v>
          </cell>
          <cell r="B988" t="str">
            <v>VAR_fout</v>
          </cell>
          <cell r="C988" t="str">
            <v>INGA</v>
          </cell>
          <cell r="D988">
            <v>37.469639230478691</v>
          </cell>
          <cell r="E988">
            <v>31.90861428794318</v>
          </cell>
          <cell r="F988">
            <v>32.851504872634116</v>
          </cell>
          <cell r="G988">
            <v>31.607660770303184</v>
          </cell>
          <cell r="H988">
            <v>15.896786305771029</v>
          </cell>
          <cell r="I988">
            <v>8.2529876308478016</v>
          </cell>
        </row>
        <row r="989">
          <cell r="A989" t="str">
            <v>D-INGA</v>
          </cell>
          <cell r="B989" t="str">
            <v>VAR_fin</v>
          </cell>
          <cell r="C989" t="str">
            <v>NGA</v>
          </cell>
          <cell r="D989">
            <v>37.26047908326408</v>
          </cell>
          <cell r="E989">
            <v>32.010521354116626</v>
          </cell>
          <cell r="F989">
            <v>32.155344761115892</v>
          </cell>
          <cell r="G989">
            <v>29.213298602317437</v>
          </cell>
          <cell r="H989">
            <v>13.066489213107822</v>
          </cell>
          <cell r="I989">
            <v>2.1610905380713699</v>
          </cell>
        </row>
        <row r="990">
          <cell r="A990" t="str">
            <v>D-INGA</v>
          </cell>
          <cell r="B990" t="str">
            <v>VAR_fin</v>
          </cell>
          <cell r="C990" t="str">
            <v>BNGA</v>
          </cell>
          <cell r="D990">
            <v>0.32886139065797426</v>
          </cell>
          <cell r="E990">
            <v>3.2009657676469875E-5</v>
          </cell>
          <cell r="F990">
            <v>0.78156570329213249</v>
          </cell>
          <cell r="G990">
            <v>2.4460962361543221</v>
          </cell>
          <cell r="H990">
            <v>2.79683106251461</v>
          </cell>
          <cell r="I990">
            <v>6.0560447717559027</v>
          </cell>
        </row>
        <row r="991">
          <cell r="A991" t="str">
            <v>D-INGA</v>
          </cell>
          <cell r="B991" t="str">
            <v>VAR_fin</v>
          </cell>
          <cell r="C991" t="str">
            <v>H2</v>
          </cell>
          <cell r="F991">
            <v>1.9542469189548529E-2</v>
          </cell>
          <cell r="G991">
            <v>4.924683274785923E-2</v>
          </cell>
          <cell r="H991">
            <v>8.426850897329681E-2</v>
          </cell>
          <cell r="I991">
            <v>6.2227352555601696E-2</v>
          </cell>
        </row>
        <row r="992">
          <cell r="A992" t="str">
            <v>D-INGA</v>
          </cell>
          <cell r="B992" t="str">
            <v>VAR_ncap</v>
          </cell>
          <cell r="C992" t="str">
            <v>-</v>
          </cell>
          <cell r="D992">
            <v>1.8719284606590401E-7</v>
          </cell>
          <cell r="E992">
            <v>1.5036075920569801E-7</v>
          </cell>
          <cell r="F992">
            <v>1.9443756542539699E-7</v>
          </cell>
          <cell r="G992">
            <v>2.4632426439773899E-7</v>
          </cell>
          <cell r="H992">
            <v>5.9773593077309704E-7</v>
          </cell>
          <cell r="I992">
            <v>1.77253446902829E-6</v>
          </cell>
        </row>
        <row r="993">
          <cell r="A993" t="str">
            <v>D-INGA</v>
          </cell>
          <cell r="B993" t="str">
            <v>VAR_cap</v>
          </cell>
          <cell r="C993" t="str">
            <v>-</v>
          </cell>
          <cell r="D993">
            <v>1.9844835574589461</v>
          </cell>
          <cell r="E993">
            <v>1.9844837078197053</v>
          </cell>
          <cell r="F993">
            <v>1.9844839022572707</v>
          </cell>
          <cell r="G993">
            <v>1.984484148581535</v>
          </cell>
          <cell r="H993">
            <v>1.9844851562579369</v>
          </cell>
          <cell r="I993">
            <v>1.0954629959722257</v>
          </cell>
        </row>
        <row r="994">
          <cell r="A994" t="str">
            <v>RHEM-SHNGAHP</v>
          </cell>
          <cell r="B994" t="str">
            <v>VAR_fout</v>
          </cell>
          <cell r="C994" t="str">
            <v>CO2_R</v>
          </cell>
          <cell r="F994">
            <v>60.446285941307899</v>
          </cell>
          <cell r="G994">
            <v>123.834752223198</v>
          </cell>
          <cell r="H994">
            <v>191.26728089272601</v>
          </cell>
          <cell r="I994">
            <v>250.5163269331</v>
          </cell>
        </row>
        <row r="995">
          <cell r="A995" t="str">
            <v>RHEM-SHNGAHP</v>
          </cell>
          <cell r="B995" t="str">
            <v>VAR_fout</v>
          </cell>
          <cell r="C995" t="str">
            <v>RHEM-SHANGAH</v>
          </cell>
          <cell r="F995">
            <v>2.0289191035641596</v>
          </cell>
          <cell r="G995">
            <v>4.2490599040732873</v>
          </cell>
          <cell r="H995">
            <v>6.725027962491013</v>
          </cell>
          <cell r="I995">
            <v>9.0173300071144915</v>
          </cell>
        </row>
        <row r="996">
          <cell r="A996" t="str">
            <v>RHEM-SHNGAHP</v>
          </cell>
          <cell r="B996" t="str">
            <v>VAR_fin</v>
          </cell>
          <cell r="C996" t="str">
            <v>RHEMELCHPC</v>
          </cell>
          <cell r="F996">
            <v>2.0289191035641596</v>
          </cell>
          <cell r="G996">
            <v>4.2490599040732873</v>
          </cell>
          <cell r="H996">
            <v>6.725027962491013</v>
          </cell>
          <cell r="I996">
            <v>9.0173300071144915</v>
          </cell>
        </row>
        <row r="997">
          <cell r="A997" t="str">
            <v>RHEM-SHNGAHP</v>
          </cell>
          <cell r="B997" t="str">
            <v>VAR_fin</v>
          </cell>
          <cell r="C997" t="str">
            <v>RNGA</v>
          </cell>
          <cell r="F997">
            <v>1.0717426585338279</v>
          </cell>
          <cell r="G997">
            <v>2.1956516351630908</v>
          </cell>
          <cell r="H997">
            <v>3.3912638456157156</v>
          </cell>
          <cell r="I997">
            <v>4.4417788463315571</v>
          </cell>
        </row>
        <row r="998">
          <cell r="A998" t="str">
            <v>RHEM-SHNGAHP</v>
          </cell>
          <cell r="B998" t="str">
            <v>VAR_ncap</v>
          </cell>
          <cell r="C998" t="str">
            <v>-</v>
          </cell>
          <cell r="D998">
            <v>4.62673286489002E-8</v>
          </cell>
          <cell r="E998">
            <v>1.03556618730698E-7</v>
          </cell>
          <cell r="F998">
            <v>0.14327992257278199</v>
          </cell>
          <cell r="G998">
            <v>0.15676942136762001</v>
          </cell>
          <cell r="H998">
            <v>0.24618780879241201</v>
          </cell>
          <cell r="I998">
            <v>0.41737974217200202</v>
          </cell>
        </row>
        <row r="999">
          <cell r="A999" t="str">
            <v>RHEM-SHNGAHP</v>
          </cell>
          <cell r="B999" t="str">
            <v>VAR_cap</v>
          </cell>
          <cell r="C999" t="str">
            <v>-</v>
          </cell>
          <cell r="D999">
            <v>4.62673286489002E-8</v>
          </cell>
          <cell r="E999">
            <v>6.7031437745218803E-8</v>
          </cell>
          <cell r="F999">
            <v>0.14327999304314759</v>
          </cell>
          <cell r="G999">
            <v>0.30004941061639123</v>
          </cell>
          <cell r="H999">
            <v>0.47489208983462666</v>
          </cell>
          <cell r="I999">
            <v>0.63676180051051168</v>
          </cell>
        </row>
        <row r="1000">
          <cell r="A1000" t="str">
            <v>D-SPLT</v>
          </cell>
          <cell r="B1000" t="str">
            <v>VAR_fout</v>
          </cell>
          <cell r="C1000" t="str">
            <v>SPLT</v>
          </cell>
          <cell r="D1000">
            <v>2.0856342445062372</v>
          </cell>
          <cell r="E1000">
            <v>2.4000914149439159</v>
          </cell>
          <cell r="F1000">
            <v>0.64940774413807467</v>
          </cell>
          <cell r="G1000">
            <v>1.2835139123502017</v>
          </cell>
          <cell r="H1000">
            <v>2.2080386990974121</v>
          </cell>
          <cell r="I1000">
            <v>2.9279494033598921</v>
          </cell>
        </row>
        <row r="1001">
          <cell r="A1001" t="str">
            <v>D-SPLT</v>
          </cell>
          <cell r="B1001" t="str">
            <v>VAR_fin</v>
          </cell>
          <cell r="C1001" t="str">
            <v>PLT</v>
          </cell>
          <cell r="D1001">
            <v>2.0856342445062372</v>
          </cell>
          <cell r="E1001">
            <v>2.4000914149439159</v>
          </cell>
          <cell r="F1001">
            <v>0.64940774413807467</v>
          </cell>
          <cell r="G1001">
            <v>1.2835139123502017</v>
          </cell>
          <cell r="H1001">
            <v>2.2080386990974121</v>
          </cell>
          <cell r="I1001">
            <v>2.9279494033598921</v>
          </cell>
        </row>
        <row r="1002">
          <cell r="A1002" t="str">
            <v>RHES-SHCONBR</v>
          </cell>
          <cell r="B1002" t="str">
            <v>VAR_fout</v>
          </cell>
          <cell r="C1002" t="str">
            <v>RHES-SHCON</v>
          </cell>
          <cell r="F1002">
            <v>4.2471612392717449E-5</v>
          </cell>
          <cell r="G1002">
            <v>4.3826096917989005E-5</v>
          </cell>
          <cell r="H1002">
            <v>4.9707726797338598E-5</v>
          </cell>
          <cell r="I1002">
            <v>4.9699856468411105E-5</v>
          </cell>
        </row>
        <row r="1003">
          <cell r="A1003" t="str">
            <v>RHES-SHCONBR</v>
          </cell>
          <cell r="B1003" t="str">
            <v>VAR_fin</v>
          </cell>
          <cell r="C1003" t="str">
            <v>CON</v>
          </cell>
          <cell r="F1003">
            <v>4.2471612392717449E-5</v>
          </cell>
          <cell r="G1003">
            <v>4.3826096917989005E-5</v>
          </cell>
          <cell r="H1003">
            <v>4.9707726797338598E-5</v>
          </cell>
          <cell r="I1003">
            <v>4.9699856468411105E-5</v>
          </cell>
        </row>
        <row r="1004">
          <cell r="A1004" t="str">
            <v>RHES-SHCONBR</v>
          </cell>
          <cell r="B1004" t="str">
            <v>VAR_ncap</v>
          </cell>
          <cell r="C1004" t="str">
            <v>-</v>
          </cell>
          <cell r="E1004">
            <v>1.1744148166574201E-8</v>
          </cell>
          <cell r="F1004">
            <v>3.5970513261778402E-6</v>
          </cell>
          <cell r="G1004">
            <v>4.0805848415953303E-8</v>
          </cell>
          <cell r="H1004">
            <v>2.78908053137073E-8</v>
          </cell>
          <cell r="I1004">
            <v>1.7384060496232E-8</v>
          </cell>
        </row>
        <row r="1005">
          <cell r="A1005" t="str">
            <v>RHES-SHCONBR</v>
          </cell>
          <cell r="B1005" t="str">
            <v>VAR_cap</v>
          </cell>
          <cell r="C1005" t="str">
            <v>-</v>
          </cell>
          <cell r="E1005">
            <v>1.1744148166574201E-8</v>
          </cell>
          <cell r="F1005">
            <v>3.6087954743444099E-6</v>
          </cell>
          <cell r="G1005">
            <v>3.64960132276036E-6</v>
          </cell>
          <cell r="H1005">
            <v>4.1694737143274204E-6</v>
          </cell>
          <cell r="I1005">
            <v>4.1868577748236498E-6</v>
          </cell>
        </row>
        <row r="1006">
          <cell r="A1006" t="str">
            <v>RHSA-WHSOLBR</v>
          </cell>
          <cell r="B1006" t="str">
            <v>VAR_fout</v>
          </cell>
          <cell r="C1006" t="str">
            <v>RHSA-WHASOL</v>
          </cell>
          <cell r="D1006">
            <v>1.721488024659851</v>
          </cell>
          <cell r="E1006">
            <v>1.9867234256145296</v>
          </cell>
          <cell r="F1006">
            <v>0.91163958326079764</v>
          </cell>
          <cell r="G1006">
            <v>1.0783996427088263</v>
          </cell>
          <cell r="H1006">
            <v>1.2770371087880916</v>
          </cell>
          <cell r="I1006">
            <v>1.4689539418335271</v>
          </cell>
        </row>
        <row r="1007">
          <cell r="A1007" t="str">
            <v>RHSA-WHSOLBR</v>
          </cell>
          <cell r="B1007" t="str">
            <v>VAR_fin</v>
          </cell>
          <cell r="C1007" t="str">
            <v>SOL</v>
          </cell>
          <cell r="D1007">
            <v>1.721488024659851</v>
          </cell>
          <cell r="E1007">
            <v>1.9867234256145296</v>
          </cell>
          <cell r="F1007">
            <v>0.91163958326079764</v>
          </cell>
          <cell r="G1007">
            <v>1.0783996427088263</v>
          </cell>
          <cell r="H1007">
            <v>1.2770371087880916</v>
          </cell>
          <cell r="I1007">
            <v>1.4689539418335271</v>
          </cell>
        </row>
        <row r="1008">
          <cell r="A1008" t="str">
            <v>RHSA-WHSOLBR</v>
          </cell>
          <cell r="B1008" t="str">
            <v>VAR_fin</v>
          </cell>
          <cell r="C1008" t="str">
            <v>RHSASOLBRC</v>
          </cell>
          <cell r="D1008">
            <v>1.721488024659851</v>
          </cell>
          <cell r="E1008">
            <v>1.9867234256145296</v>
          </cell>
          <cell r="F1008">
            <v>0.91163958326079764</v>
          </cell>
          <cell r="G1008">
            <v>1.0783996427088263</v>
          </cell>
          <cell r="H1008">
            <v>1.2770371087880916</v>
          </cell>
          <cell r="I1008">
            <v>1.4689539418335271</v>
          </cell>
        </row>
        <row r="1009">
          <cell r="A1009" t="str">
            <v>RHSA-WHSOLBR</v>
          </cell>
          <cell r="B1009" t="str">
            <v>VAR_ncap</v>
          </cell>
          <cell r="C1009" t="str">
            <v>-</v>
          </cell>
          <cell r="E1009">
            <v>8.4162912067006795E-2</v>
          </cell>
          <cell r="F1009">
            <v>1.4287178155117901E-7</v>
          </cell>
          <cell r="G1009">
            <v>2.5997877370928E-7</v>
          </cell>
          <cell r="H1009">
            <v>0.134751359517087</v>
          </cell>
          <cell r="I1009">
            <v>0.18031328468609401</v>
          </cell>
        </row>
        <row r="1010">
          <cell r="A1010" t="str">
            <v>RHSA-WHSOLBR</v>
          </cell>
          <cell r="B1010" t="str">
            <v>VAR_cap</v>
          </cell>
          <cell r="C1010" t="str">
            <v>-</v>
          </cell>
          <cell r="D1010">
            <v>0.25000991745774798</v>
          </cell>
          <cell r="E1010">
            <v>0.33417278069531836</v>
          </cell>
          <cell r="F1010">
            <v>0.33417249171952751</v>
          </cell>
          <cell r="G1010">
            <v>0.33417268603707562</v>
          </cell>
          <cell r="H1010">
            <v>0.29474339912597475</v>
          </cell>
          <cell r="I1010">
            <v>0.34578250001762623</v>
          </cell>
        </row>
        <row r="1011">
          <cell r="A1011" t="str">
            <v>SCOM-SHCONBR</v>
          </cell>
          <cell r="B1011" t="str">
            <v>VAR_ncap</v>
          </cell>
          <cell r="C1011" t="str">
            <v>-</v>
          </cell>
          <cell r="E1011">
            <v>1.0768539969151499E-8</v>
          </cell>
          <cell r="F1011">
            <v>4.9649863160310101E-8</v>
          </cell>
          <cell r="H1011">
            <v>4.5548412494396499E-8</v>
          </cell>
          <cell r="I1011">
            <v>6.4238701743814304E-8</v>
          </cell>
        </row>
        <row r="1012">
          <cell r="A1012" t="str">
            <v>SCOM-SHCONBR</v>
          </cell>
          <cell r="B1012" t="str">
            <v>VAR_cap</v>
          </cell>
          <cell r="C1012" t="str">
            <v>-</v>
          </cell>
          <cell r="E1012">
            <v>-1.7482695258609003E-9</v>
          </cell>
          <cell r="F1012">
            <v>6.0418403129461599E-8</v>
          </cell>
          <cell r="G1012">
            <v>6.0418403129461599E-8</v>
          </cell>
          <cell r="H1012">
            <v>2.45370157614522E-7</v>
          </cell>
          <cell r="I1012">
            <v>3.0960885935833599E-7</v>
          </cell>
        </row>
        <row r="1013">
          <cell r="A1013" t="str">
            <v>RHNM-SHNGABR</v>
          </cell>
          <cell r="B1013" t="str">
            <v>VAR_fout</v>
          </cell>
          <cell r="C1013" t="str">
            <v>CO2_R</v>
          </cell>
          <cell r="E1013">
            <v>43.099065913752803</v>
          </cell>
          <cell r="F1013">
            <v>9.6174880899051498</v>
          </cell>
          <cell r="G1013">
            <v>16.053915868931998</v>
          </cell>
          <cell r="H1013">
            <v>20.7469318251147</v>
          </cell>
          <cell r="I1013">
            <v>16.963410966141499</v>
          </cell>
        </row>
        <row r="1014">
          <cell r="A1014" t="str">
            <v>RHNM-SHNGABR</v>
          </cell>
          <cell r="B1014" t="str">
            <v>VAR_fout</v>
          </cell>
          <cell r="C1014" t="str">
            <v>RHNM-SHNGA</v>
          </cell>
          <cell r="E1014">
            <v>0.72595944358271502</v>
          </cell>
          <cell r="F1014">
            <v>0.16367923878469318</v>
          </cell>
          <cell r="G1014">
            <v>0.27322272735980002</v>
          </cell>
          <cell r="H1014">
            <v>0.35310231934367331</v>
          </cell>
          <cell r="I1014">
            <v>0.28870870192351167</v>
          </cell>
        </row>
        <row r="1015">
          <cell r="A1015" t="str">
            <v>RHNM-SHNGABR</v>
          </cell>
          <cell r="B1015" t="str">
            <v>VAR_fin</v>
          </cell>
          <cell r="C1015" t="str">
            <v>RNGA</v>
          </cell>
          <cell r="E1015">
            <v>0.76416783535022681</v>
          </cell>
          <cell r="F1015">
            <v>0.17052283847349536</v>
          </cell>
          <cell r="G1015">
            <v>0.28464389838531851</v>
          </cell>
          <cell r="H1015">
            <v>0.36785340115451587</v>
          </cell>
          <cell r="I1015">
            <v>0.30076969798123177</v>
          </cell>
        </row>
        <row r="1016">
          <cell r="A1016" t="str">
            <v>RHNM-SHNGABR</v>
          </cell>
          <cell r="B1016" t="str">
            <v>VAR_ncap</v>
          </cell>
          <cell r="C1016" t="str">
            <v>-</v>
          </cell>
          <cell r="E1016">
            <v>5.6360710079827701E-2</v>
          </cell>
          <cell r="F1016">
            <v>2.1204345749027501E-7</v>
          </cell>
          <cell r="G1016">
            <v>2.5742138072015299E-7</v>
          </cell>
          <cell r="H1016">
            <v>2.7455507958665502E-2</v>
          </cell>
          <cell r="I1016">
            <v>2.7306021523192201E-3</v>
          </cell>
        </row>
        <row r="1017">
          <cell r="A1017" t="str">
            <v>RHNM-SHNGABR</v>
          </cell>
          <cell r="B1017" t="str">
            <v>VAR_cap</v>
          </cell>
          <cell r="C1017" t="str">
            <v>-</v>
          </cell>
          <cell r="E1017">
            <v>5.6360710079827701E-2</v>
          </cell>
          <cell r="F1017">
            <v>5.022645711062141E-2</v>
          </cell>
          <cell r="G1017">
            <v>5.0219373180042853E-2</v>
          </cell>
          <cell r="H1017">
            <v>2.7457678106708058E-2</v>
          </cell>
          <cell r="I1017">
            <v>2.2656721821489412E-2</v>
          </cell>
        </row>
        <row r="1018">
          <cell r="A1018" t="str">
            <v>RHES-SHSOLBR</v>
          </cell>
          <cell r="B1018" t="str">
            <v>VAR_fout</v>
          </cell>
          <cell r="C1018" t="str">
            <v>RHES-SHASOL</v>
          </cell>
          <cell r="D1018">
            <v>0.37732610756439694</v>
          </cell>
          <cell r="E1018">
            <v>0.43546325807973874</v>
          </cell>
          <cell r="F1018">
            <v>2.1652875251788287E-2</v>
          </cell>
          <cell r="G1018">
            <v>2.4425526587304423E-2</v>
          </cell>
          <cell r="H1018">
            <v>2.6259068343710539E-2</v>
          </cell>
          <cell r="I1018">
            <v>2.7282916396123496E-2</v>
          </cell>
        </row>
        <row r="1019">
          <cell r="A1019" t="str">
            <v>RHES-SHSOLBR</v>
          </cell>
          <cell r="B1019" t="str">
            <v>VAR_fin</v>
          </cell>
          <cell r="C1019" t="str">
            <v>SOL</v>
          </cell>
          <cell r="D1019">
            <v>0.37732610756439694</v>
          </cell>
          <cell r="E1019">
            <v>0.43546325807973874</v>
          </cell>
          <cell r="F1019">
            <v>2.1652875251788287E-2</v>
          </cell>
          <cell r="G1019">
            <v>2.4425526587304423E-2</v>
          </cell>
          <cell r="H1019">
            <v>2.6259068343710539E-2</v>
          </cell>
          <cell r="I1019">
            <v>2.7282916396123496E-2</v>
          </cell>
        </row>
        <row r="1020">
          <cell r="A1020" t="str">
            <v>RHES-SHSOLBR</v>
          </cell>
          <cell r="B1020" t="str">
            <v>VAR_ncap</v>
          </cell>
          <cell r="C1020" t="str">
            <v>-</v>
          </cell>
          <cell r="E1020">
            <v>8.4463977754005697E-3</v>
          </cell>
          <cell r="F1020">
            <v>4.9069471618525602E-8</v>
          </cell>
          <cell r="G1020">
            <v>6.8518233358211706E-8</v>
          </cell>
          <cell r="H1020">
            <v>3.83079544177875E-3</v>
          </cell>
          <cell r="I1020">
            <v>1.19283403601331E-3</v>
          </cell>
        </row>
        <row r="1021">
          <cell r="A1021" t="str">
            <v>RHES-SHSOLBR</v>
          </cell>
          <cell r="B1021" t="str">
            <v>VAR_cap</v>
          </cell>
          <cell r="C1021" t="str">
            <v>-</v>
          </cell>
          <cell r="D1021">
            <v>5.4798678617278197E-2</v>
          </cell>
          <cell r="E1021">
            <v>6.3245056288785129E-2</v>
          </cell>
          <cell r="F1021">
            <v>6.3244554760352678E-2</v>
          </cell>
          <cell r="G1021">
            <v>6.324430500490115E-2</v>
          </cell>
          <cell r="H1021">
            <v>3.8310663854767783E-3</v>
          </cell>
          <cell r="I1021">
            <v>3.9730491203187109E-3</v>
          </cell>
        </row>
        <row r="1022">
          <cell r="A1022" t="str">
            <v>SCOM-SHSOLBR</v>
          </cell>
          <cell r="B1022" t="str">
            <v>VAR_fout</v>
          </cell>
          <cell r="C1022" t="str">
            <v>SCOM-SHASOL</v>
          </cell>
          <cell r="D1022">
            <v>0.62699491223293335</v>
          </cell>
          <cell r="E1022">
            <v>0.68733408081230318</v>
          </cell>
          <cell r="F1022">
            <v>0.53383583675907753</v>
          </cell>
          <cell r="G1022">
            <v>0.61701414120713738</v>
          </cell>
          <cell r="H1022">
            <v>0.72872533980703214</v>
          </cell>
          <cell r="I1022">
            <v>0.86695119099290019</v>
          </cell>
        </row>
        <row r="1023">
          <cell r="A1023" t="str">
            <v>SCOM-SHSOLBR</v>
          </cell>
          <cell r="B1023" t="str">
            <v>VAR_fin</v>
          </cell>
          <cell r="C1023" t="str">
            <v>SOL</v>
          </cell>
          <cell r="D1023">
            <v>0.62699491223293335</v>
          </cell>
          <cell r="E1023">
            <v>0.68733408081230318</v>
          </cell>
          <cell r="F1023">
            <v>0.53383583675907753</v>
          </cell>
          <cell r="G1023">
            <v>0.61701414120713738</v>
          </cell>
          <cell r="H1023">
            <v>0.72872533980703214</v>
          </cell>
          <cell r="I1023">
            <v>0.86695119099290019</v>
          </cell>
        </row>
        <row r="1024">
          <cell r="A1024" t="str">
            <v>SCOM-SHSOLBR</v>
          </cell>
          <cell r="B1024" t="str">
            <v>VAR_ncap</v>
          </cell>
          <cell r="C1024" t="str">
            <v>-</v>
          </cell>
          <cell r="D1024">
            <v>2.9689543005570399E-5</v>
          </cell>
          <cell r="E1024">
            <v>8.7407332815602496E-3</v>
          </cell>
          <cell r="F1024">
            <v>1.4899299292197801E-7</v>
          </cell>
          <cell r="G1024">
            <v>1.75381815228465E-7</v>
          </cell>
          <cell r="H1024">
            <v>3.5277766580596101E-2</v>
          </cell>
          <cell r="I1024">
            <v>7.0479652157102807E-2</v>
          </cell>
        </row>
        <row r="1025">
          <cell r="A1025" t="str">
            <v>SCOM-SHSOLBR</v>
          </cell>
          <cell r="B1025" t="str">
            <v>VAR_cap</v>
          </cell>
          <cell r="C1025" t="str">
            <v>-</v>
          </cell>
          <cell r="D1025">
            <v>9.1087283019085072E-2</v>
          </cell>
          <cell r="E1025">
            <v>9.9827974292751614E-2</v>
          </cell>
          <cell r="F1025">
            <v>9.982777179515144E-2</v>
          </cell>
          <cell r="G1025">
            <v>9.9827905000826792E-2</v>
          </cell>
          <cell r="H1025">
            <v>0.10585636628069262</v>
          </cell>
          <cell r="I1025">
            <v>0.12593616137145749</v>
          </cell>
        </row>
        <row r="1026">
          <cell r="A1026" t="str">
            <v>RHEM-SHSTG-ELCHP</v>
          </cell>
          <cell r="B1026" t="str">
            <v>VAR_fout</v>
          </cell>
          <cell r="C1026" t="str">
            <v>RHEM-SHAELCH</v>
          </cell>
          <cell r="D1026">
            <v>2.4576249614115952E-7</v>
          </cell>
          <cell r="E1026">
            <v>8.1629710722451128E-7</v>
          </cell>
          <cell r="F1026">
            <v>0.48984618477262604</v>
          </cell>
          <cell r="G1026">
            <v>0.30912100840610301</v>
          </cell>
          <cell r="H1026">
            <v>0.45002224456415574</v>
          </cell>
          <cell r="I1026">
            <v>0.36448962227099041</v>
          </cell>
        </row>
        <row r="1027">
          <cell r="A1027" t="str">
            <v>RHEM-SHSTG-ELCHP</v>
          </cell>
          <cell r="B1027" t="str">
            <v>VAR_fin</v>
          </cell>
          <cell r="C1027" t="str">
            <v>RHEM-SHAELCH</v>
          </cell>
          <cell r="D1027">
            <v>5.6312960425729793E-6</v>
          </cell>
          <cell r="E1027">
            <v>8.6273451284589173E-7</v>
          </cell>
          <cell r="F1027">
            <v>0.48985476938311967</v>
          </cell>
          <cell r="G1027">
            <v>0.30912686023820068</v>
          </cell>
          <cell r="H1027">
            <v>0.45003682109313337</v>
          </cell>
          <cell r="I1027">
            <v>0.36450080093871784</v>
          </cell>
        </row>
        <row r="1028">
          <cell r="A1028" t="str">
            <v>RHEM-SHSTG-ELCHP</v>
          </cell>
          <cell r="B1028" t="str">
            <v>VAR_ncap</v>
          </cell>
          <cell r="C1028" t="str">
            <v>-</v>
          </cell>
          <cell r="D1028">
            <v>3.2539565366710502E-3</v>
          </cell>
          <cell r="E1028">
            <v>0.19040290302458299</v>
          </cell>
          <cell r="F1028">
            <v>1.9950117202457199E-5</v>
          </cell>
          <cell r="G1028">
            <v>2.0710375548626699E-2</v>
          </cell>
          <cell r="H1028">
            <v>0.13585665159302501</v>
          </cell>
          <cell r="I1028">
            <v>0.19202874919690499</v>
          </cell>
        </row>
        <row r="1029">
          <cell r="A1029" t="str">
            <v>RHEM-SHSTG-ELCHP</v>
          </cell>
          <cell r="B1029" t="str">
            <v>VAR_cap</v>
          </cell>
          <cell r="C1029" t="str">
            <v>-</v>
          </cell>
          <cell r="D1029">
            <v>3.2539565366710502E-3</v>
          </cell>
          <cell r="E1029">
            <v>0.19365046867873106</v>
          </cell>
          <cell r="F1029">
            <v>0.19365026542872335</v>
          </cell>
          <cell r="G1029">
            <v>0.21434995760977568</v>
          </cell>
          <cell r="H1029">
            <v>0.28192216422113081</v>
          </cell>
          <cell r="I1029">
            <v>0.34641208369689624</v>
          </cell>
        </row>
        <row r="1030">
          <cell r="A1030" t="str">
            <v>ITOT-SWHELCBR</v>
          </cell>
          <cell r="B1030" t="str">
            <v>VAR_fout</v>
          </cell>
          <cell r="C1030" t="str">
            <v>ITOT-SWHAELC</v>
          </cell>
          <cell r="D1030">
            <v>9.8138931158801093</v>
          </cell>
          <cell r="E1030">
            <v>10.33508287827204</v>
          </cell>
          <cell r="F1030">
            <v>11.332130181103752</v>
          </cell>
          <cell r="G1030">
            <v>11.332129940420533</v>
          </cell>
          <cell r="H1030">
            <v>11.332145627955574</v>
          </cell>
          <cell r="I1030">
            <v>11.33214418418156</v>
          </cell>
        </row>
        <row r="1031">
          <cell r="A1031" t="str">
            <v>ITOT-SWHELCBR</v>
          </cell>
          <cell r="B1031" t="str">
            <v>VAR_fin</v>
          </cell>
          <cell r="C1031" t="str">
            <v>ITOT_ELC</v>
          </cell>
          <cell r="D1031">
            <v>11.646942096364821</v>
          </cell>
          <cell r="E1031">
            <v>12.258977871177512</v>
          </cell>
          <cell r="F1031">
            <v>13.430947097343386</v>
          </cell>
          <cell r="G1031">
            <v>13.413183986717042</v>
          </cell>
          <cell r="H1031">
            <v>13.377817434761901</v>
          </cell>
          <cell r="I1031">
            <v>13.342616820893223</v>
          </cell>
        </row>
        <row r="1032">
          <cell r="A1032" t="str">
            <v>ITOT-SWHELCBR</v>
          </cell>
          <cell r="B1032" t="str">
            <v>VAR_ncap</v>
          </cell>
          <cell r="C1032" t="str">
            <v>-</v>
          </cell>
          <cell r="E1032">
            <v>0.18343293491232901</v>
          </cell>
          <cell r="F1032">
            <v>9.0997538448772203E-2</v>
          </cell>
          <cell r="G1032">
            <v>2.2622343830070199E-3</v>
          </cell>
          <cell r="H1032">
            <v>0.40568921107146699</v>
          </cell>
          <cell r="I1032">
            <v>0.39687875589381999</v>
          </cell>
        </row>
        <row r="1033">
          <cell r="A1033" t="str">
            <v>ITOT-SWHELCBR</v>
          </cell>
          <cell r="B1033" t="str">
            <v>VAR_cap</v>
          </cell>
          <cell r="C1033" t="str">
            <v>-</v>
          </cell>
          <cell r="D1033">
            <v>0.55644997413134401</v>
          </cell>
          <cell r="E1033">
            <v>0.73988114201265354</v>
          </cell>
          <cell r="F1033">
            <v>0.83087451203089224</v>
          </cell>
          <cell r="G1033">
            <v>0.83312964455722882</v>
          </cell>
          <cell r="H1033">
            <v>1.0805312744380167</v>
          </cell>
          <cell r="I1033">
            <v>0.96928520738960677</v>
          </cell>
        </row>
        <row r="1034">
          <cell r="A1034"/>
          <cell r="B1034"/>
          <cell r="C1034"/>
        </row>
        <row r="1035">
          <cell r="A1035"/>
          <cell r="B1035"/>
          <cell r="C1035"/>
        </row>
        <row r="1036">
          <cell r="A1036"/>
          <cell r="B1036"/>
          <cell r="C1036"/>
        </row>
        <row r="1037">
          <cell r="A1037"/>
          <cell r="B1037"/>
          <cell r="C1037"/>
        </row>
        <row r="1038">
          <cell r="A1038"/>
          <cell r="B1038"/>
          <cell r="C1038"/>
        </row>
        <row r="1039">
          <cell r="A1039"/>
          <cell r="B1039"/>
          <cell r="C1039"/>
        </row>
        <row r="1040">
          <cell r="A1040"/>
          <cell r="B1040"/>
          <cell r="C1040"/>
        </row>
        <row r="1041">
          <cell r="A1041"/>
          <cell r="B1041"/>
          <cell r="C1041"/>
        </row>
        <row r="1042">
          <cell r="A1042"/>
          <cell r="B1042"/>
          <cell r="C1042"/>
        </row>
        <row r="1043">
          <cell r="A1043"/>
          <cell r="B1043"/>
          <cell r="C1043"/>
        </row>
        <row r="1044">
          <cell r="A1044"/>
          <cell r="B1044"/>
          <cell r="C1044"/>
        </row>
        <row r="1045">
          <cell r="A1045"/>
          <cell r="B1045"/>
          <cell r="C1045"/>
        </row>
        <row r="1046">
          <cell r="A1046"/>
          <cell r="B1046"/>
          <cell r="C1046"/>
        </row>
        <row r="1047">
          <cell r="A1047"/>
          <cell r="B1047"/>
          <cell r="C1047"/>
        </row>
        <row r="1048">
          <cell r="A1048"/>
          <cell r="B1048"/>
          <cell r="C1048"/>
        </row>
        <row r="1049">
          <cell r="A1049"/>
          <cell r="B1049"/>
          <cell r="C1049"/>
        </row>
        <row r="1050">
          <cell r="A1050"/>
          <cell r="B1050"/>
          <cell r="C1050"/>
        </row>
        <row r="1051">
          <cell r="A1051"/>
          <cell r="B1051"/>
          <cell r="C1051"/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EQ_combalM</v>
          </cell>
          <cell r="D4" t="str">
            <v>-</v>
          </cell>
          <cell r="H4">
            <v>6.2928919221724131</v>
          </cell>
        </row>
        <row r="5">
          <cell r="B5" t="str">
            <v>CO2_O</v>
          </cell>
          <cell r="C5" t="str">
            <v>EQ_combalM</v>
          </cell>
          <cell r="D5" t="str">
            <v>-</v>
          </cell>
          <cell r="H5">
            <v>6.2928919221724131</v>
          </cell>
        </row>
        <row r="6">
          <cell r="B6" t="str">
            <v>CO2_R</v>
          </cell>
          <cell r="C6" t="str">
            <v>VAR_fout</v>
          </cell>
          <cell r="D6" t="str">
            <v>RHNM-SHLFOBR</v>
          </cell>
          <cell r="F6">
            <v>2.99741270831817E-4</v>
          </cell>
          <cell r="G6">
            <v>8.6816033398921704</v>
          </cell>
          <cell r="H6">
            <v>13.0758560077449</v>
          </cell>
          <cell r="I6">
            <v>14.2057114184569</v>
          </cell>
        </row>
        <row r="7">
          <cell r="B7" t="str">
            <v>CO2_R</v>
          </cell>
          <cell r="C7" t="str">
            <v>VAR_fout</v>
          </cell>
          <cell r="D7" t="str">
            <v>RHNS-SHNGAHP</v>
          </cell>
          <cell r="G7">
            <v>4.9923667731583903</v>
          </cell>
          <cell r="H7">
            <v>15.784817170866599</v>
          </cell>
          <cell r="I7">
            <v>27.707071232892702</v>
          </cell>
          <cell r="J7">
            <v>36.437672284983101</v>
          </cell>
        </row>
        <row r="8">
          <cell r="B8" t="str">
            <v>CO2_R</v>
          </cell>
          <cell r="C8" t="str">
            <v>VAR_fout</v>
          </cell>
          <cell r="D8" t="str">
            <v>RHNS-CHPGFC</v>
          </cell>
          <cell r="H8">
            <v>7.1201837321748802E-3</v>
          </cell>
          <cell r="I8">
            <v>2.2939487547860401E-2</v>
          </cell>
          <cell r="J8">
            <v>1.79715416927883E-2</v>
          </cell>
        </row>
        <row r="9">
          <cell r="B9" t="str">
            <v>CO2_R</v>
          </cell>
          <cell r="C9" t="str">
            <v>VAR_fout</v>
          </cell>
          <cell r="D9" t="str">
            <v>RHES-CHPNGA</v>
          </cell>
          <cell r="E9">
            <v>3.1545899289650698</v>
          </cell>
          <cell r="F9">
            <v>0.38415595081825799</v>
          </cell>
          <cell r="G9">
            <v>0.466994688409266</v>
          </cell>
          <cell r="H9">
            <v>1.26088668301788</v>
          </cell>
          <cell r="I9">
            <v>0.40712653548873301</v>
          </cell>
          <cell r="J9">
            <v>0.13814152828868601</v>
          </cell>
        </row>
        <row r="10">
          <cell r="B10" t="str">
            <v>CO2_R</v>
          </cell>
          <cell r="C10" t="str">
            <v>VAR_fout</v>
          </cell>
          <cell r="D10" t="str">
            <v>RHEM-CHPGFC</v>
          </cell>
          <cell r="H10">
            <v>2.9795447646370699E-2</v>
          </cell>
          <cell r="I10">
            <v>0.231196804347341</v>
          </cell>
          <cell r="J10">
            <v>0.19390274259571899</v>
          </cell>
        </row>
        <row r="11">
          <cell r="B11" t="str">
            <v>CO2_R</v>
          </cell>
          <cell r="C11" t="str">
            <v>VAR_fout</v>
          </cell>
          <cell r="D11" t="str">
            <v>RHEM-SHNGABR</v>
          </cell>
          <cell r="E11">
            <v>1127.9632145948699</v>
          </cell>
          <cell r="F11">
            <v>1142.04171208466</v>
          </cell>
          <cell r="G11">
            <v>1319.1097602888401</v>
          </cell>
          <cell r="H11">
            <v>1110.6152566119499</v>
          </cell>
          <cell r="I11">
            <v>669.21878760101504</v>
          </cell>
          <cell r="J11">
            <v>295.31796976473402</v>
          </cell>
        </row>
        <row r="12">
          <cell r="B12" t="str">
            <v>CO2_R</v>
          </cell>
          <cell r="C12" t="str">
            <v>VAR_fout</v>
          </cell>
          <cell r="D12" t="str">
            <v>RHSA-WHNGAHP</v>
          </cell>
          <cell r="G12">
            <v>25.598969834059002</v>
          </cell>
          <cell r="H12">
            <v>57.5528755412953</v>
          </cell>
          <cell r="I12">
            <v>100.25197385366199</v>
          </cell>
          <cell r="J12">
            <v>134.90826911216701</v>
          </cell>
        </row>
        <row r="13">
          <cell r="B13" t="str">
            <v>CO2_R</v>
          </cell>
          <cell r="C13" t="str">
            <v>VAR_fout</v>
          </cell>
          <cell r="D13" t="str">
            <v>RHEM-SHLFOBR</v>
          </cell>
          <cell r="E13">
            <v>1928.7104976778401</v>
          </cell>
          <cell r="F13">
            <v>1569.79525399009</v>
          </cell>
          <cell r="G13">
            <v>1754.7068824601299</v>
          </cell>
          <cell r="H13">
            <v>1165.9096687515901</v>
          </cell>
          <cell r="I13">
            <v>644.41803543256697</v>
          </cell>
          <cell r="J13">
            <v>210.65345105801899</v>
          </cell>
        </row>
        <row r="14">
          <cell r="B14" t="str">
            <v>CO2_R</v>
          </cell>
          <cell r="C14" t="str">
            <v>VAR_fout</v>
          </cell>
          <cell r="D14" t="str">
            <v>RHES-SHNGAHP</v>
          </cell>
          <cell r="G14">
            <v>64.547623266588303</v>
          </cell>
          <cell r="H14">
            <v>121.82897880791199</v>
          </cell>
          <cell r="I14">
            <v>180.026782466166</v>
          </cell>
          <cell r="J14">
            <v>219.13377775398601</v>
          </cell>
        </row>
        <row r="15">
          <cell r="B15" t="str">
            <v>CO2_R</v>
          </cell>
          <cell r="C15" t="str">
            <v>VAR_fout</v>
          </cell>
          <cell r="D15" t="str">
            <v>RHNS-SHNGABR</v>
          </cell>
          <cell r="F15">
            <v>6.0645162849860803</v>
          </cell>
          <cell r="G15">
            <v>3.1679497410085</v>
          </cell>
          <cell r="H15">
            <v>6.5061435178958904</v>
          </cell>
          <cell r="I15">
            <v>9.5128091025955595</v>
          </cell>
          <cell r="J15">
            <v>10.1809308721853</v>
          </cell>
        </row>
        <row r="16">
          <cell r="B16" t="str">
            <v>CO2_R</v>
          </cell>
          <cell r="C16" t="str">
            <v>VAR_fout</v>
          </cell>
          <cell r="D16" t="str">
            <v>RHNS-SHLFOBR</v>
          </cell>
          <cell r="F16">
            <v>1.3662485796428301E-3</v>
          </cell>
          <cell r="G16">
            <v>3.3313420718132098</v>
          </cell>
          <cell r="H16">
            <v>5.1191710677795799</v>
          </cell>
          <cell r="I16">
            <v>5.7653691673032297</v>
          </cell>
        </row>
        <row r="17">
          <cell r="B17" t="str">
            <v>CO2_R</v>
          </cell>
          <cell r="C17" t="str">
            <v>VAR_fout</v>
          </cell>
          <cell r="D17" t="str">
            <v>RHES-CHPGFC</v>
          </cell>
          <cell r="H17">
            <v>7.1994104659748297E-3</v>
          </cell>
          <cell r="I17">
            <v>2.2449365096054101E-2</v>
          </cell>
          <cell r="J17">
            <v>1.8512794226857001E-2</v>
          </cell>
        </row>
        <row r="18">
          <cell r="B18" t="str">
            <v>CO2_R</v>
          </cell>
          <cell r="C18" t="str">
            <v>VAR_fout</v>
          </cell>
          <cell r="D18" t="str">
            <v>RHNM-CHPNGA</v>
          </cell>
          <cell r="F18">
            <v>0.237306555317226</v>
          </cell>
          <cell r="G18">
            <v>0.232178215048404</v>
          </cell>
          <cell r="H18">
            <v>20.838522076495099</v>
          </cell>
          <cell r="I18">
            <v>338.84990484024098</v>
          </cell>
          <cell r="J18">
            <v>301.02611070426201</v>
          </cell>
        </row>
        <row r="19">
          <cell r="B19" t="str">
            <v>CO2_R</v>
          </cell>
          <cell r="C19" t="str">
            <v>VAR_fout</v>
          </cell>
          <cell r="D19" t="str">
            <v>RHNM-SHNGAHP</v>
          </cell>
          <cell r="G19">
            <v>6.6922551320951298</v>
          </cell>
          <cell r="H19">
            <v>19.609898644997301</v>
          </cell>
          <cell r="I19">
            <v>35.989625471837002</v>
          </cell>
          <cell r="J19">
            <v>48.6098470242814</v>
          </cell>
        </row>
        <row r="20">
          <cell r="B20" t="str">
            <v>CO2_R</v>
          </cell>
          <cell r="C20" t="str">
            <v>VAR_fout</v>
          </cell>
          <cell r="D20" t="str">
            <v>RHES-SHNGABR</v>
          </cell>
          <cell r="E20">
            <v>1043.13520413076</v>
          </cell>
          <cell r="F20">
            <v>1116.645410225</v>
          </cell>
          <cell r="G20">
            <v>667.11064940247195</v>
          </cell>
          <cell r="H20">
            <v>548.62716010859504</v>
          </cell>
          <cell r="I20">
            <v>316.84045377969602</v>
          </cell>
          <cell r="J20">
            <v>146.16426740348601</v>
          </cell>
        </row>
        <row r="21">
          <cell r="B21" t="str">
            <v>CO2_R</v>
          </cell>
          <cell r="C21" t="str">
            <v>VAR_fout</v>
          </cell>
          <cell r="D21" t="str">
            <v>RHSA-WHNGABR</v>
          </cell>
          <cell r="E21">
            <v>479.80994863973001</v>
          </cell>
          <cell r="F21">
            <v>414.48932105551501</v>
          </cell>
          <cell r="G21">
            <v>578.27768132329697</v>
          </cell>
          <cell r="H21">
            <v>456.45315163928899</v>
          </cell>
          <cell r="I21">
            <v>299.12990621189402</v>
          </cell>
          <cell r="J21">
            <v>183.85220580607501</v>
          </cell>
        </row>
        <row r="22">
          <cell r="B22" t="str">
            <v>CO2_R</v>
          </cell>
          <cell r="C22" t="str">
            <v>VAR_fout</v>
          </cell>
          <cell r="D22" t="str">
            <v>RHSA-WHLFOBR</v>
          </cell>
          <cell r="E22">
            <v>726.71218905463297</v>
          </cell>
          <cell r="F22">
            <v>571.51782638222301</v>
          </cell>
          <cell r="G22">
            <v>680.314019427159</v>
          </cell>
          <cell r="H22">
            <v>434.999359688423</v>
          </cell>
          <cell r="I22">
            <v>240.05328092923699</v>
          </cell>
          <cell r="J22">
            <v>108.33643148855801</v>
          </cell>
        </row>
        <row r="23">
          <cell r="B23" t="str">
            <v>CO2_R</v>
          </cell>
          <cell r="C23" t="str">
            <v>VAR_fout</v>
          </cell>
          <cell r="D23" t="str">
            <v>RHES-SHLFOBR</v>
          </cell>
          <cell r="E23">
            <v>1783.6626200220701</v>
          </cell>
          <cell r="F23">
            <v>1640.9693980531299</v>
          </cell>
          <cell r="G23">
            <v>1249.21523257641</v>
          </cell>
          <cell r="H23">
            <v>799.76107284833802</v>
          </cell>
          <cell r="I23">
            <v>379.71148286571099</v>
          </cell>
          <cell r="J23">
            <v>103.32178320187801</v>
          </cell>
        </row>
        <row r="24">
          <cell r="B24" t="str">
            <v>CO2_R</v>
          </cell>
          <cell r="C24" t="str">
            <v>VAR_fout</v>
          </cell>
          <cell r="D24" t="str">
            <v>RHNS-CHPNGA</v>
          </cell>
          <cell r="F24">
            <v>8.1493202863102202E-2</v>
          </cell>
          <cell r="G24">
            <v>0.156502163795605</v>
          </cell>
          <cell r="H24">
            <v>0.14912568626770301</v>
          </cell>
          <cell r="I24">
            <v>0.26710947847180699</v>
          </cell>
          <cell r="J24">
            <v>0.14440276106675801</v>
          </cell>
        </row>
        <row r="25">
          <cell r="B25" t="str">
            <v>CO2_R</v>
          </cell>
          <cell r="C25" t="str">
            <v>VAR_fout</v>
          </cell>
          <cell r="D25" t="str">
            <v>RHNM-CHPGFC</v>
          </cell>
          <cell r="H25">
            <v>2.97976472243302E-2</v>
          </cell>
          <cell r="I25">
            <v>0.231211387550808</v>
          </cell>
          <cell r="J25">
            <v>0.193918467484158</v>
          </cell>
        </row>
        <row r="26">
          <cell r="B26" t="str">
            <v>CO2_R</v>
          </cell>
          <cell r="C26" t="str">
            <v>VAR_fout</v>
          </cell>
          <cell r="D26" t="str">
            <v>RHEM-CHPNGA</v>
          </cell>
          <cell r="E26">
            <v>5.7481012121997397</v>
          </cell>
          <cell r="F26">
            <v>0.11917972721004801</v>
          </cell>
          <cell r="G26">
            <v>0.25166502779862399</v>
          </cell>
          <cell r="H26">
            <v>20.855304321281402</v>
          </cell>
          <cell r="I26">
            <v>338.78707748790902</v>
          </cell>
          <cell r="J26">
            <v>301.03763852370901</v>
          </cell>
        </row>
        <row r="27">
          <cell r="B27" t="str">
            <v>CO2_R</v>
          </cell>
          <cell r="C27" t="str">
            <v>VAR_fout</v>
          </cell>
          <cell r="D27" t="str">
            <v>RHES-SHCOABR</v>
          </cell>
          <cell r="E27">
            <v>9.27002383197431</v>
          </cell>
          <cell r="F27">
            <v>9.2700116423689494</v>
          </cell>
          <cell r="G27">
            <v>2.4985298449806099</v>
          </cell>
          <cell r="H27">
            <v>0.56189103066610602</v>
          </cell>
        </row>
        <row r="28">
          <cell r="B28" t="str">
            <v>CO2_R</v>
          </cell>
          <cell r="C28" t="str">
            <v>VAR_fout</v>
          </cell>
          <cell r="D28" t="str">
            <v>RHEM-SHNGAHP</v>
          </cell>
          <cell r="G28">
            <v>60.446285941307899</v>
          </cell>
          <cell r="H28">
            <v>123.834752223198</v>
          </cell>
          <cell r="I28">
            <v>191.26728089272601</v>
          </cell>
          <cell r="J28">
            <v>250.5163269331</v>
          </cell>
        </row>
        <row r="29">
          <cell r="B29" t="str">
            <v>CO2_R</v>
          </cell>
          <cell r="C29" t="str">
            <v>VAR_fout</v>
          </cell>
          <cell r="D29" t="str">
            <v>RHNM-SHNGABR</v>
          </cell>
          <cell r="F29">
            <v>43.099065913752803</v>
          </cell>
          <cell r="G29">
            <v>9.6174880899051498</v>
          </cell>
          <cell r="H29">
            <v>16.053915868931998</v>
          </cell>
          <cell r="I29">
            <v>20.7469318251147</v>
          </cell>
          <cell r="J29">
            <v>16.963410966141499</v>
          </cell>
        </row>
        <row r="30">
          <cell r="B30" t="str">
            <v>CO2_R</v>
          </cell>
          <cell r="C30" t="str">
            <v>VAR_comnet</v>
          </cell>
          <cell r="D30" t="str">
            <v>-</v>
          </cell>
          <cell r="E30">
            <v>7108.1663890930404</v>
          </cell>
          <cell r="F30">
            <v>6514.7163170577896</v>
          </cell>
          <cell r="G30">
            <v>6439.4159796081603</v>
          </cell>
          <cell r="H30">
            <v>4939.4717209856099</v>
          </cell>
          <cell r="I30">
            <v>3813.66451763753</v>
          </cell>
          <cell r="J30">
            <v>2367.1669427329198</v>
          </cell>
        </row>
        <row r="31">
          <cell r="B31" t="str">
            <v>CO2_S</v>
          </cell>
          <cell r="C31" t="str">
            <v>VAR_fout</v>
          </cell>
          <cell r="D31" t="str">
            <v>SCOM-SHNGAHP</v>
          </cell>
          <cell r="G31">
            <v>48.746250375888302</v>
          </cell>
          <cell r="H31">
            <v>94.6311316485437</v>
          </cell>
          <cell r="I31">
            <v>157.34733953713601</v>
          </cell>
          <cell r="J31">
            <v>218.53340817071199</v>
          </cell>
        </row>
        <row r="32">
          <cell r="B32" t="str">
            <v>CO2_S</v>
          </cell>
          <cell r="C32" t="str">
            <v>VAR_fout</v>
          </cell>
          <cell r="D32" t="str">
            <v>SCOM-CHPNGA</v>
          </cell>
          <cell r="E32">
            <v>93.435941348738595</v>
          </cell>
          <cell r="F32">
            <v>98.055713493663106</v>
          </cell>
          <cell r="G32">
            <v>1.7573360180217401</v>
          </cell>
          <cell r="H32">
            <v>1.73192193390697</v>
          </cell>
          <cell r="I32">
            <v>4.0523278176319701</v>
          </cell>
          <cell r="J32">
            <v>7.92131354554928E-2</v>
          </cell>
        </row>
        <row r="33">
          <cell r="B33" t="str">
            <v>CO2_S</v>
          </cell>
          <cell r="C33" t="str">
            <v>VAR_fout</v>
          </cell>
          <cell r="D33" t="str">
            <v>SCOM-SHNGABR</v>
          </cell>
          <cell r="E33">
            <v>1440.94597042137</v>
          </cell>
          <cell r="F33">
            <v>1508.6876512552601</v>
          </cell>
          <cell r="G33">
            <v>1367.3859548585899</v>
          </cell>
          <cell r="H33">
            <v>1185.1748536974001</v>
          </cell>
          <cell r="I33">
            <v>787.48426780944703</v>
          </cell>
          <cell r="J33">
            <v>454.90266708431699</v>
          </cell>
        </row>
        <row r="34">
          <cell r="B34" t="str">
            <v>CO2_S</v>
          </cell>
          <cell r="C34" t="str">
            <v>VAR_fout</v>
          </cell>
          <cell r="D34" t="str">
            <v>SCOM-CHPGFC</v>
          </cell>
          <cell r="H34">
            <v>1.6237591885550899E-2</v>
          </cell>
          <cell r="I34">
            <v>0.62384753623577405</v>
          </cell>
          <cell r="J34">
            <v>0.607871603191245</v>
          </cell>
        </row>
        <row r="35">
          <cell r="B35" t="str">
            <v>CO2_S</v>
          </cell>
          <cell r="C35" t="str">
            <v>VAR_fout</v>
          </cell>
          <cell r="D35" t="str">
            <v>SCOM-SHLFOBR</v>
          </cell>
          <cell r="E35">
            <v>2229.91394052431</v>
          </cell>
          <cell r="F35">
            <v>1996.39511723907</v>
          </cell>
          <cell r="G35">
            <v>1978.0046729595599</v>
          </cell>
          <cell r="H35">
            <v>1447.6977734761299</v>
          </cell>
          <cell r="I35">
            <v>902.48521852682495</v>
          </cell>
          <cell r="J35">
            <v>383.47550327596502</v>
          </cell>
        </row>
        <row r="36">
          <cell r="B36" t="str">
            <v>CO2_S</v>
          </cell>
          <cell r="C36" t="str">
            <v>VAR_comnet</v>
          </cell>
          <cell r="D36" t="str">
            <v>-</v>
          </cell>
          <cell r="E36">
            <v>3764.29585229443</v>
          </cell>
          <cell r="F36">
            <v>3603.13848198799</v>
          </cell>
          <cell r="G36">
            <v>3395.89421421205</v>
          </cell>
          <cell r="H36">
            <v>2729.2519183478598</v>
          </cell>
          <cell r="I36">
            <v>1851.99300122728</v>
          </cell>
          <cell r="J36">
            <v>1057.5986632696399</v>
          </cell>
        </row>
        <row r="37">
          <cell r="B37" t="str">
            <v>CO2_T</v>
          </cell>
          <cell r="C37" t="str">
            <v>VAR_fout</v>
          </cell>
          <cell r="D37" t="str">
            <v>T_B_u-ICENGAEXT</v>
          </cell>
          <cell r="E37">
            <v>1.78560814571967E-2</v>
          </cell>
          <cell r="F37">
            <v>1.7891074451841099E-2</v>
          </cell>
          <cell r="G37">
            <v>1.78294783097032E-2</v>
          </cell>
        </row>
        <row r="38">
          <cell r="B38" t="str">
            <v>CO2_T</v>
          </cell>
          <cell r="C38" t="str">
            <v>VAR_fout</v>
          </cell>
          <cell r="D38" t="str">
            <v>TFHGV-ICENGA</v>
          </cell>
          <cell r="E38">
            <v>3.5328372013380891</v>
          </cell>
          <cell r="F38">
            <v>4.253773438584979E-2</v>
          </cell>
          <cell r="G38">
            <v>4.3984039235042856E-2</v>
          </cell>
          <cell r="H38">
            <v>4.3125344824629028E-2</v>
          </cell>
          <cell r="I38">
            <v>3.9473291027974103E-2</v>
          </cell>
          <cell r="J38">
            <v>3.7393442706136142E-2</v>
          </cell>
        </row>
        <row r="39">
          <cell r="B39" t="str">
            <v>CO2_T</v>
          </cell>
          <cell r="C39" t="str">
            <v>VAR_fout</v>
          </cell>
          <cell r="D39" t="str">
            <v>T-Plg-GSL-mix_S1</v>
          </cell>
          <cell r="E39">
            <v>2.2000144129910901E-2</v>
          </cell>
          <cell r="F39">
            <v>0.11704046113786459</v>
          </cell>
          <cell r="G39">
            <v>9.5268958001638801E-2</v>
          </cell>
          <cell r="H39">
            <v>7.7857603714993479E-2</v>
          </cell>
          <cell r="I39">
            <v>2.6552722022129122E-2</v>
          </cell>
          <cell r="J39">
            <v>1.267301185527356E-2</v>
          </cell>
        </row>
        <row r="40">
          <cell r="B40" t="str">
            <v>CO2_T</v>
          </cell>
          <cell r="C40" t="str">
            <v>VAR_fout</v>
          </cell>
          <cell r="D40" t="str">
            <v>T-Plg-GSL-mix_S2</v>
          </cell>
          <cell r="E40">
            <v>6.0307947708467697</v>
          </cell>
          <cell r="F40">
            <v>10.920543722262821</v>
          </cell>
          <cell r="G40">
            <v>11.80594318976495</v>
          </cell>
          <cell r="H40">
            <v>9.115459570685676</v>
          </cell>
          <cell r="I40">
            <v>0.11452927895367998</v>
          </cell>
          <cell r="J40">
            <v>4.7773572078254271E-2</v>
          </cell>
        </row>
        <row r="41">
          <cell r="B41" t="str">
            <v>CO2_T</v>
          </cell>
          <cell r="C41" t="str">
            <v>VAR_fout</v>
          </cell>
          <cell r="D41" t="str">
            <v>T-Plg-GSL-mix_S3</v>
          </cell>
          <cell r="E41">
            <v>6.2260230591080203</v>
          </cell>
          <cell r="F41">
            <v>17.70861288249408</v>
          </cell>
          <cell r="G41">
            <v>120.7054315452279</v>
          </cell>
          <cell r="H41">
            <v>93.694287045994457</v>
          </cell>
          <cell r="I41">
            <v>19.726871165822512</v>
          </cell>
          <cell r="J41">
            <v>63.358618225812414</v>
          </cell>
        </row>
        <row r="42">
          <cell r="B42" t="str">
            <v>CO2_T</v>
          </cell>
          <cell r="C42" t="str">
            <v>VAR_fout</v>
          </cell>
          <cell r="D42" t="str">
            <v>T-Plg-GSL-mix_S4</v>
          </cell>
          <cell r="E42">
            <v>12.808552874295099</v>
          </cell>
          <cell r="F42">
            <v>19.333833993738388</v>
          </cell>
          <cell r="G42">
            <v>17.91963110405273</v>
          </cell>
          <cell r="H42">
            <v>12.829504606515099</v>
          </cell>
          <cell r="I42">
            <v>0.15593487800762296</v>
          </cell>
          <cell r="J42">
            <v>6.4664706467025101E-2</v>
          </cell>
        </row>
        <row r="43">
          <cell r="B43" t="str">
            <v>CO2_T</v>
          </cell>
          <cell r="C43" t="str">
            <v>VAR_fout</v>
          </cell>
          <cell r="D43" t="str">
            <v>TFLGV-HYBDSL</v>
          </cell>
          <cell r="F43">
            <v>32.511767317305001</v>
          </cell>
          <cell r="G43">
            <v>97.552834205557303</v>
          </cell>
          <cell r="H43">
            <v>276.98686246048817</v>
          </cell>
          <cell r="I43">
            <v>222.41816069360749</v>
          </cell>
          <cell r="J43">
            <v>271.46593401151767</v>
          </cell>
        </row>
        <row r="44">
          <cell r="B44" t="str">
            <v>CO2_T</v>
          </cell>
          <cell r="C44" t="str">
            <v>VAR_fout</v>
          </cell>
          <cell r="D44" t="str">
            <v>TFLGV-ICEGSLExt</v>
          </cell>
          <cell r="E44">
            <v>61.386422674932099</v>
          </cell>
          <cell r="F44">
            <v>129.00636882339199</v>
          </cell>
          <cell r="G44">
            <v>40.106536026123202</v>
          </cell>
          <cell r="H44">
            <v>19.9950191923127</v>
          </cell>
        </row>
        <row r="45">
          <cell r="B45" t="str">
            <v>CO2_T</v>
          </cell>
          <cell r="C45" t="str">
            <v>VAR_fout</v>
          </cell>
          <cell r="D45" t="str">
            <v>TFLGV-ICEDSLExt</v>
          </cell>
          <cell r="E45">
            <v>805.05245995477503</v>
          </cell>
          <cell r="F45">
            <v>545.26556939486602</v>
          </cell>
          <cell r="G45">
            <v>415.058693866471</v>
          </cell>
          <cell r="H45">
            <v>199.77413137036501</v>
          </cell>
        </row>
        <row r="46">
          <cell r="B46" t="str">
            <v>CO2_T</v>
          </cell>
          <cell r="C46" t="str">
            <v>VAR_fout</v>
          </cell>
          <cell r="D46" t="str">
            <v>T_C-ICE-NGA-S1</v>
          </cell>
          <cell r="E46">
            <v>0.20780795817189299</v>
          </cell>
          <cell r="F46">
            <v>4.0945877008190058E-2</v>
          </cell>
          <cell r="G46">
            <v>3.295626668633176E-2</v>
          </cell>
          <cell r="H46">
            <v>7.2897758798058437E-3</v>
          </cell>
          <cell r="I46">
            <v>2.5901142964170972E-3</v>
          </cell>
          <cell r="J46">
            <v>1.5535598587634661E-3</v>
          </cell>
        </row>
        <row r="47">
          <cell r="B47" t="str">
            <v>CO2_T</v>
          </cell>
          <cell r="C47" t="str">
            <v>VAR_fout</v>
          </cell>
          <cell r="D47" t="str">
            <v>T_C-ICE-NGA-S2</v>
          </cell>
          <cell r="E47">
            <v>1.816745373642924</v>
          </cell>
          <cell r="F47">
            <v>1.4381532232361613</v>
          </cell>
          <cell r="G47">
            <v>1.4084254682557835</v>
          </cell>
          <cell r="H47">
            <v>6.0533306379776932E-3</v>
          </cell>
          <cell r="I47">
            <v>7.4158489873971875E-3</v>
          </cell>
          <cell r="J47">
            <v>4.2766807396616199E-3</v>
          </cell>
        </row>
        <row r="48">
          <cell r="B48" t="str">
            <v>CO2_T</v>
          </cell>
          <cell r="C48" t="str">
            <v>VAR_fout</v>
          </cell>
          <cell r="D48" t="str">
            <v>TFLGV-ICEDSL</v>
          </cell>
          <cell r="E48">
            <v>326.12301764599061</v>
          </cell>
          <cell r="F48">
            <v>384.71774827484353</v>
          </cell>
          <cell r="G48">
            <v>384.7889080229441</v>
          </cell>
          <cell r="H48">
            <v>157.80606944597827</v>
          </cell>
          <cell r="I48">
            <v>28.442447531226644</v>
          </cell>
          <cell r="J48">
            <v>5.0437938773398088</v>
          </cell>
        </row>
        <row r="49">
          <cell r="B49" t="str">
            <v>CO2_T</v>
          </cell>
          <cell r="C49" t="str">
            <v>VAR_fout</v>
          </cell>
          <cell r="D49" t="str">
            <v>T_C-ICE-NGA-S3</v>
          </cell>
          <cell r="E49">
            <v>0.24544745981919469</v>
          </cell>
          <cell r="F49">
            <v>9.4735631209676097E-2</v>
          </cell>
          <cell r="G49">
            <v>9.2957292239029071E-2</v>
          </cell>
          <cell r="H49">
            <v>2.8066438649865372E-2</v>
          </cell>
          <cell r="I49">
            <v>1.6617961929903648E-2</v>
          </cell>
          <cell r="J49">
            <v>1.179023492039822E-2</v>
          </cell>
        </row>
        <row r="50">
          <cell r="B50" t="str">
            <v>CO2_T</v>
          </cell>
          <cell r="C50" t="str">
            <v>VAR_fout</v>
          </cell>
          <cell r="D50" t="str">
            <v>T_C-ICE-NGA-S4</v>
          </cell>
          <cell r="E50">
            <v>2.728820151692958</v>
          </cell>
          <cell r="F50">
            <v>2.6604693838275524</v>
          </cell>
          <cell r="G50">
            <v>2.476396779588367</v>
          </cell>
          <cell r="H50">
            <v>4.4978095160800669E-3</v>
          </cell>
          <cell r="I50">
            <v>1.6398080357470098E-2</v>
          </cell>
          <cell r="J50">
            <v>1.9943017052278359E-2</v>
          </cell>
        </row>
        <row r="51">
          <cell r="B51" t="str">
            <v>CO2_T</v>
          </cell>
          <cell r="C51" t="str">
            <v>VAR_fout</v>
          </cell>
          <cell r="D51" t="str">
            <v>T_C-MHY-GSL-S1</v>
          </cell>
          <cell r="F51">
            <v>5.5944557896616598E-3</v>
          </cell>
          <cell r="G51">
            <v>46.818117173517535</v>
          </cell>
          <cell r="H51">
            <v>41.25835323893844</v>
          </cell>
          <cell r="I51">
            <v>4.0411377188749791</v>
          </cell>
          <cell r="J51">
            <v>1.6882885624971589E-2</v>
          </cell>
        </row>
        <row r="52">
          <cell r="B52" t="str">
            <v>CO2_T</v>
          </cell>
          <cell r="C52" t="str">
            <v>VAR_fout</v>
          </cell>
          <cell r="D52" t="str">
            <v>T_C-MHY-GSL-S2</v>
          </cell>
          <cell r="F52">
            <v>5.4899769768689101E-3</v>
          </cell>
          <cell r="G52">
            <v>8.59185065966378E-2</v>
          </cell>
          <cell r="H52">
            <v>0.21322235440180215</v>
          </cell>
          <cell r="I52">
            <v>0.13135706315010645</v>
          </cell>
          <cell r="J52">
            <v>3.0090255431975708E-2</v>
          </cell>
        </row>
        <row r="53">
          <cell r="B53" t="str">
            <v>CO2_T</v>
          </cell>
          <cell r="C53" t="str">
            <v>VAR_fout</v>
          </cell>
          <cell r="D53" t="str">
            <v>T_C-MHY-DSL-S1</v>
          </cell>
          <cell r="F53">
            <v>5.5582011743047404E-3</v>
          </cell>
          <cell r="G53">
            <v>30.297514420391039</v>
          </cell>
          <cell r="H53">
            <v>132.34427765691424</v>
          </cell>
          <cell r="I53">
            <v>45.386634445070726</v>
          </cell>
          <cell r="J53">
            <v>4.5121657589497835E-2</v>
          </cell>
        </row>
        <row r="54">
          <cell r="B54" t="str">
            <v>CO2_T</v>
          </cell>
          <cell r="C54" t="str">
            <v>VAR_fout</v>
          </cell>
          <cell r="D54" t="str">
            <v>T_C-MHY-GSL-S3</v>
          </cell>
          <cell r="F54">
            <v>6.0216585178952597E-3</v>
          </cell>
          <cell r="G54">
            <v>8.1959131763367055E-2</v>
          </cell>
          <cell r="H54">
            <v>0.1986207418239152</v>
          </cell>
          <cell r="I54">
            <v>0.14513509899655783</v>
          </cell>
          <cell r="J54">
            <v>4.2211793247768803E-2</v>
          </cell>
        </row>
        <row r="55">
          <cell r="B55" t="str">
            <v>CO2_T</v>
          </cell>
          <cell r="C55" t="str">
            <v>VAR_fout</v>
          </cell>
          <cell r="D55" t="str">
            <v>T_C-MHY-DSL-S2</v>
          </cell>
          <cell r="F55">
            <v>5.4762279239983303E-3</v>
          </cell>
          <cell r="G55">
            <v>7.7774740288105798E-2</v>
          </cell>
          <cell r="H55">
            <v>3.8985331922974766</v>
          </cell>
          <cell r="I55">
            <v>1.6401615698305962</v>
          </cell>
          <cell r="J55">
            <v>6.2157795025025102E-2</v>
          </cell>
        </row>
        <row r="56">
          <cell r="B56" t="str">
            <v>CO2_T</v>
          </cell>
          <cell r="C56" t="str">
            <v>VAR_fout</v>
          </cell>
          <cell r="D56" t="str">
            <v>T_C-MHY-GSL-S4</v>
          </cell>
          <cell r="F56">
            <v>7.4325546328489703E-3</v>
          </cell>
          <cell r="G56">
            <v>0.16782429964836793</v>
          </cell>
          <cell r="H56">
            <v>303.2379121621284</v>
          </cell>
          <cell r="I56">
            <v>319.33886409251227</v>
          </cell>
          <cell r="J56">
            <v>278.54588511715872</v>
          </cell>
        </row>
        <row r="57">
          <cell r="B57" t="str">
            <v>CO2_T</v>
          </cell>
          <cell r="C57" t="str">
            <v>VAR_fout</v>
          </cell>
          <cell r="D57" t="str">
            <v>T_C-MHY-DSL-S3</v>
          </cell>
          <cell r="F57">
            <v>5.9202341295896401E-3</v>
          </cell>
          <cell r="G57">
            <v>7.319188479909032E-2</v>
          </cell>
          <cell r="H57">
            <v>57.10864995237921</v>
          </cell>
          <cell r="I57">
            <v>156.62037189573834</v>
          </cell>
          <cell r="J57">
            <v>189.59566311981274</v>
          </cell>
        </row>
        <row r="58">
          <cell r="B58" t="str">
            <v>CO2_T</v>
          </cell>
          <cell r="C58" t="str">
            <v>VAR_fout</v>
          </cell>
          <cell r="D58" t="str">
            <v>T_B_c-HYBDSL-S1</v>
          </cell>
          <cell r="F58">
            <v>17.517559081013601</v>
          </cell>
          <cell r="G58">
            <v>17.532107031001072</v>
          </cell>
          <cell r="H58">
            <v>3.7446069484569841E-2</v>
          </cell>
          <cell r="I58">
            <v>0.12950118149296769</v>
          </cell>
          <cell r="J58">
            <v>7.2384149739001091E-2</v>
          </cell>
        </row>
        <row r="59">
          <cell r="B59" t="str">
            <v>CO2_T</v>
          </cell>
          <cell r="C59" t="str">
            <v>VAR_fout</v>
          </cell>
          <cell r="D59" t="str">
            <v>T_C-MHY-DSL-S4</v>
          </cell>
          <cell r="F59">
            <v>5.4493538439117899E-3</v>
          </cell>
          <cell r="G59">
            <v>2.8901428204512712E-2</v>
          </cell>
          <cell r="H59">
            <v>5.1403825617830287E-2</v>
          </cell>
          <cell r="I59">
            <v>6.4326126219973676E-2</v>
          </cell>
          <cell r="J59">
            <v>3.5189703800271539E-2</v>
          </cell>
        </row>
        <row r="60">
          <cell r="B60" t="str">
            <v>CO2_T</v>
          </cell>
          <cell r="C60" t="str">
            <v>VAR_fout</v>
          </cell>
          <cell r="D60" t="str">
            <v>T_B_c-HYBDSL-S2</v>
          </cell>
          <cell r="F60">
            <v>5.0757342808559397E-2</v>
          </cell>
          <cell r="G60">
            <v>0.47271170302791432</v>
          </cell>
          <cell r="H60">
            <v>19.160073525768297</v>
          </cell>
          <cell r="I60">
            <v>17.600196383238394</v>
          </cell>
          <cell r="J60">
            <v>16.849160847501118</v>
          </cell>
        </row>
        <row r="61">
          <cell r="B61" t="str">
            <v>CO2_T</v>
          </cell>
          <cell r="C61" t="str">
            <v>VAR_fout</v>
          </cell>
          <cell r="D61" t="str">
            <v>T_B_c-HYBDSL-S3</v>
          </cell>
          <cell r="F61">
            <v>1.8312577011537601E-2</v>
          </cell>
          <cell r="G61">
            <v>9.4264947594945886E-2</v>
          </cell>
          <cell r="H61">
            <v>10.050612705873611</v>
          </cell>
          <cell r="I61">
            <v>9.1129103002636409</v>
          </cell>
          <cell r="J61">
            <v>8.2175075851704698</v>
          </cell>
        </row>
        <row r="62">
          <cell r="B62" t="str">
            <v>CO2_T</v>
          </cell>
          <cell r="C62" t="str">
            <v>VAR_fout</v>
          </cell>
          <cell r="D62" t="str">
            <v>T_B_c-HYBDSL-S4</v>
          </cell>
          <cell r="F62">
            <v>1.888499339863E-4</v>
          </cell>
          <cell r="G62">
            <v>9.9141110950309993E-4</v>
          </cell>
          <cell r="H62">
            <v>5.7105317002444198E-4</v>
          </cell>
          <cell r="I62">
            <v>1.74552537030522E-3</v>
          </cell>
        </row>
        <row r="63">
          <cell r="B63" t="str">
            <v>CO2_T</v>
          </cell>
          <cell r="C63" t="str">
            <v>VAR_fout</v>
          </cell>
          <cell r="D63" t="str">
            <v>TFHGV-ICEDSLExt</v>
          </cell>
          <cell r="E63">
            <v>1410.2242233197701</v>
          </cell>
          <cell r="F63">
            <v>1167.2068932756199</v>
          </cell>
          <cell r="G63">
            <v>838.64766097615905</v>
          </cell>
          <cell r="H63">
            <v>356.08689426195798</v>
          </cell>
        </row>
        <row r="64">
          <cell r="B64" t="str">
            <v>CO2_T</v>
          </cell>
          <cell r="C64" t="str">
            <v>VAR_fout</v>
          </cell>
          <cell r="D64" t="str">
            <v>TPSHPGSLEXT</v>
          </cell>
          <cell r="E64">
            <v>129.873812963153</v>
          </cell>
          <cell r="F64">
            <v>1.6736542501534599E-4</v>
          </cell>
          <cell r="G64">
            <v>2.60759599472694E-3</v>
          </cell>
          <cell r="H64">
            <v>2.1722107045655898E-3</v>
          </cell>
          <cell r="I64">
            <v>2.0365079675751401E-3</v>
          </cell>
        </row>
        <row r="65">
          <cell r="B65" t="str">
            <v>CO2_T</v>
          </cell>
          <cell r="C65" t="str">
            <v>VAR_fout</v>
          </cell>
          <cell r="D65" t="str">
            <v>T_TW-ICEGSL-S1</v>
          </cell>
          <cell r="E65">
            <v>3.270217796089097</v>
          </cell>
          <cell r="F65">
            <v>22.671125261670646</v>
          </cell>
          <cell r="G65">
            <v>35.704173180116626</v>
          </cell>
          <cell r="H65">
            <v>52.610359700851852</v>
          </cell>
          <cell r="I65">
            <v>69.082926394412766</v>
          </cell>
          <cell r="J65">
            <v>65.149421092305005</v>
          </cell>
        </row>
        <row r="66">
          <cell r="B66" t="str">
            <v>CO2_T</v>
          </cell>
          <cell r="C66" t="str">
            <v>VAR_fout</v>
          </cell>
          <cell r="D66" t="str">
            <v>TPSHPDSLEXT</v>
          </cell>
          <cell r="E66">
            <v>1273.9831592043399</v>
          </cell>
          <cell r="F66">
            <v>1016.81173377066</v>
          </cell>
          <cell r="G66">
            <v>581.11658993538197</v>
          </cell>
          <cell r="H66">
            <v>253.95393326534</v>
          </cell>
          <cell r="I66">
            <v>1197.9617418736</v>
          </cell>
          <cell r="J66">
            <v>1197.9654188971599</v>
          </cell>
        </row>
        <row r="67">
          <cell r="B67" t="str">
            <v>CO2_T</v>
          </cell>
          <cell r="C67" t="str">
            <v>VAR_fout</v>
          </cell>
          <cell r="D67" t="str">
            <v>T_TW-ICEGSL-S2</v>
          </cell>
          <cell r="E67">
            <v>8.2966135391093303</v>
          </cell>
          <cell r="F67">
            <v>12.0213933036977</v>
          </cell>
          <cell r="G67">
            <v>11.89142360974521</v>
          </cell>
          <cell r="H67">
            <v>7.4781316339045949</v>
          </cell>
          <cell r="I67">
            <v>2.0359717638570231E-2</v>
          </cell>
          <cell r="J67">
            <v>1.1901553091567089E-2</v>
          </cell>
        </row>
        <row r="68">
          <cell r="B68" t="str">
            <v>CO2_T</v>
          </cell>
          <cell r="C68" t="str">
            <v>VAR_fout</v>
          </cell>
          <cell r="D68" t="str">
            <v>T_TW-ICEGSL-S3</v>
          </cell>
          <cell r="E68">
            <v>7.9929752700564798</v>
          </cell>
          <cell r="F68">
            <v>0.99820290730985473</v>
          </cell>
          <cell r="G68">
            <v>1.0285869862402492</v>
          </cell>
          <cell r="H68">
            <v>1.0079878611240771</v>
          </cell>
          <cell r="I68">
            <v>0.47576285919533234</v>
          </cell>
          <cell r="J68">
            <v>1.133132390345196E-2</v>
          </cell>
        </row>
        <row r="69">
          <cell r="B69" t="str">
            <v>CO2_T</v>
          </cell>
          <cell r="C69" t="str">
            <v>VAR_fout</v>
          </cell>
          <cell r="D69" t="str">
            <v>T_C-ICEGSLEXT</v>
          </cell>
          <cell r="E69">
            <v>4722.2882910826502</v>
          </cell>
          <cell r="F69">
            <v>4316.35905480171</v>
          </cell>
          <cell r="G69">
            <v>3016.9367556617599</v>
          </cell>
          <cell r="H69">
            <v>812.819908797322</v>
          </cell>
        </row>
        <row r="70">
          <cell r="B70" t="str">
            <v>CO2_T</v>
          </cell>
          <cell r="C70" t="str">
            <v>VAR_fout</v>
          </cell>
          <cell r="D70" t="str">
            <v>T_TW-ICEGSL-S4</v>
          </cell>
          <cell r="E70">
            <v>3.2102038061677822</v>
          </cell>
          <cell r="F70">
            <v>2.898480277609905</v>
          </cell>
          <cell r="G70">
            <v>2.9431060791069741</v>
          </cell>
          <cell r="H70">
            <v>2.9108584761919309</v>
          </cell>
          <cell r="I70">
            <v>2.8963705101047035</v>
          </cell>
          <cell r="J70">
            <v>0.41002139879252064</v>
          </cell>
        </row>
        <row r="71">
          <cell r="B71" t="str">
            <v>CO2_T</v>
          </cell>
          <cell r="C71" t="str">
            <v>VAR_fout</v>
          </cell>
          <cell r="D71" t="str">
            <v>T_C-ICEDSLEXT</v>
          </cell>
          <cell r="E71">
            <v>3865.8782724269199</v>
          </cell>
          <cell r="F71">
            <v>3569.7775476431202</v>
          </cell>
          <cell r="G71">
            <v>2582.9073908804298</v>
          </cell>
          <cell r="H71">
            <v>1175.14807507618</v>
          </cell>
        </row>
        <row r="72">
          <cell r="B72" t="str">
            <v>CO2_T</v>
          </cell>
          <cell r="C72" t="str">
            <v>VAR_fout</v>
          </cell>
          <cell r="D72" t="str">
            <v>T_TW-ICEGSLEXT</v>
          </cell>
          <cell r="E72">
            <v>154.27763309057499</v>
          </cell>
          <cell r="F72">
            <v>104.30488751187301</v>
          </cell>
          <cell r="G72">
            <v>70.244098710442401</v>
          </cell>
          <cell r="H72">
            <v>33.436596121039599</v>
          </cell>
        </row>
        <row r="73">
          <cell r="B73" t="str">
            <v>CO2_T</v>
          </cell>
          <cell r="C73" t="str">
            <v>VAR_fout</v>
          </cell>
          <cell r="D73" t="str">
            <v>TFLGV-ICENGA</v>
          </cell>
          <cell r="E73">
            <v>0.46719481774625471</v>
          </cell>
          <cell r="F73">
            <v>0.57413334487544221</v>
          </cell>
          <cell r="G73">
            <v>0.79324483820103087</v>
          </cell>
          <cell r="H73">
            <v>5.1970903779023853E-3</v>
          </cell>
          <cell r="I73">
            <v>7.1632086030583159E-3</v>
          </cell>
          <cell r="J73">
            <v>7.1295972452498409E-3</v>
          </cell>
        </row>
        <row r="74">
          <cell r="B74" t="str">
            <v>CO2_T</v>
          </cell>
          <cell r="C74" t="str">
            <v>VAR_fout</v>
          </cell>
          <cell r="D74" t="str">
            <v>T_B_c-ICENGA-S1</v>
          </cell>
          <cell r="F74">
            <v>4.3076174821363002E-3</v>
          </cell>
          <cell r="G74">
            <v>3.0058266014002809E-2</v>
          </cell>
        </row>
        <row r="75">
          <cell r="B75" t="str">
            <v>CO2_T</v>
          </cell>
          <cell r="C75" t="str">
            <v>VAR_fout</v>
          </cell>
          <cell r="D75" t="str">
            <v>T_B_c-ICENGA-S2</v>
          </cell>
          <cell r="F75">
            <v>3.0365810457926501E-3</v>
          </cell>
          <cell r="G75">
            <v>1.42161168879818E-2</v>
          </cell>
        </row>
        <row r="76">
          <cell r="B76" t="str">
            <v>CO2_T</v>
          </cell>
          <cell r="C76" t="str">
            <v>VAR_fout</v>
          </cell>
          <cell r="D76" t="str">
            <v>T_B_u-ICEDSL-S1</v>
          </cell>
          <cell r="E76">
            <v>1.9852015854647499E-2</v>
          </cell>
          <cell r="F76">
            <v>4.1128013975953857E-2</v>
          </cell>
          <cell r="G76">
            <v>14.711594255810734</v>
          </cell>
          <cell r="H76">
            <v>3.1125962101650898E-3</v>
          </cell>
          <cell r="I76">
            <v>9.0429234573410905E-5</v>
          </cell>
          <cell r="J76">
            <v>8.3083933243685907E-5</v>
          </cell>
        </row>
        <row r="77">
          <cell r="B77" t="str">
            <v>CO2_T</v>
          </cell>
          <cell r="C77" t="str">
            <v>VAR_fout</v>
          </cell>
          <cell r="D77" t="str">
            <v>T_B_c-ICENGA-S3</v>
          </cell>
          <cell r="F77">
            <v>1.84179535058015E-3</v>
          </cell>
          <cell r="G77">
            <v>7.9278551638547606E-3</v>
          </cell>
        </row>
        <row r="78">
          <cell r="B78" t="str">
            <v>CO2_T</v>
          </cell>
          <cell r="C78" t="str">
            <v>VAR_fout</v>
          </cell>
          <cell r="D78" t="str">
            <v>T_B_u-ICEDSL-S2</v>
          </cell>
          <cell r="E78">
            <v>8.1022033872349102</v>
          </cell>
          <cell r="F78">
            <v>9.5811520682075741</v>
          </cell>
          <cell r="G78">
            <v>15.855353978772682</v>
          </cell>
        </row>
        <row r="79">
          <cell r="B79" t="str">
            <v>CO2_T</v>
          </cell>
          <cell r="C79" t="str">
            <v>VAR_fout</v>
          </cell>
          <cell r="D79" t="str">
            <v>T_B_c-ICENGA-S4</v>
          </cell>
          <cell r="G79">
            <v>2.1517315544349801E-4</v>
          </cell>
        </row>
        <row r="80">
          <cell r="B80" t="str">
            <v>CO2_T</v>
          </cell>
          <cell r="C80" t="str">
            <v>VAR_fout</v>
          </cell>
          <cell r="D80" t="str">
            <v>T_B_u-ICEDSL-S3</v>
          </cell>
          <cell r="E80">
            <v>45.396353463455327</v>
          </cell>
          <cell r="F80">
            <v>63.68528987984287</v>
          </cell>
          <cell r="G80">
            <v>63.738102133800119</v>
          </cell>
          <cell r="I80">
            <v>1.0652902460400701E-4</v>
          </cell>
        </row>
        <row r="81">
          <cell r="B81" t="str">
            <v>CO2_T</v>
          </cell>
          <cell r="C81" t="str">
            <v>VAR_fout</v>
          </cell>
          <cell r="D81" t="str">
            <v>T_B_u-ICEDSL-S4</v>
          </cell>
          <cell r="E81">
            <v>0.22113082513557719</v>
          </cell>
          <cell r="G81">
            <v>5.1352297833673192E-4</v>
          </cell>
        </row>
        <row r="82">
          <cell r="B82" t="str">
            <v>CO2_T</v>
          </cell>
          <cell r="C82" t="str">
            <v>VAR_fout</v>
          </cell>
          <cell r="D82" t="str">
            <v>T_B_c-ICENGAEXT</v>
          </cell>
          <cell r="E82">
            <v>7.8000444160070802E-3</v>
          </cell>
          <cell r="F82">
            <v>7.7912295372542101E-3</v>
          </cell>
          <cell r="G82">
            <v>7.7143150647537703E-3</v>
          </cell>
        </row>
        <row r="83">
          <cell r="B83" t="str">
            <v>CO2_T</v>
          </cell>
          <cell r="C83" t="str">
            <v>VAR_fout</v>
          </cell>
          <cell r="D83" t="str">
            <v>T_B_u-ICEDSLEXT</v>
          </cell>
          <cell r="E83">
            <v>1.2710055090490699</v>
          </cell>
          <cell r="F83">
            <v>1.2694291665672901</v>
          </cell>
          <cell r="G83">
            <v>1.26446334316872</v>
          </cell>
        </row>
        <row r="84">
          <cell r="B84" t="str">
            <v>CO2_T</v>
          </cell>
          <cell r="C84" t="str">
            <v>VAR_fout</v>
          </cell>
          <cell r="D84" t="str">
            <v>T_C-HYBGSLEXT</v>
          </cell>
          <cell r="E84">
            <v>92.549694206587503</v>
          </cell>
          <cell r="F84">
            <v>91.724542556802504</v>
          </cell>
          <cell r="G84">
            <v>68.278390395898995</v>
          </cell>
          <cell r="H84">
            <v>32.395732167627202</v>
          </cell>
        </row>
        <row r="85">
          <cell r="B85" t="str">
            <v>CO2_T</v>
          </cell>
          <cell r="C85" t="str">
            <v>VAR_fout</v>
          </cell>
          <cell r="D85" t="str">
            <v>TPAVDKEREXT</v>
          </cell>
          <cell r="E85">
            <v>79.576349423418094</v>
          </cell>
          <cell r="F85">
            <v>100.796237247683</v>
          </cell>
          <cell r="G85">
            <v>132.626068984081</v>
          </cell>
          <cell r="H85">
            <v>185.675788544743</v>
          </cell>
          <cell r="I85">
            <v>154.38211110512901</v>
          </cell>
          <cell r="J85">
            <v>123.088433665514</v>
          </cell>
        </row>
        <row r="86">
          <cell r="B86" t="str">
            <v>CO2_T</v>
          </cell>
          <cell r="C86" t="str">
            <v>VAR_fout</v>
          </cell>
          <cell r="D86" t="str">
            <v>T_C-ICE-GSL-S1</v>
          </cell>
          <cell r="E86">
            <v>35.707805568760442</v>
          </cell>
          <cell r="F86">
            <v>40.619020196422802</v>
          </cell>
          <cell r="G86">
            <v>28.449147617298934</v>
          </cell>
          <cell r="H86">
            <v>21.599720372855753</v>
          </cell>
          <cell r="I86">
            <v>6.4286252485430101E-2</v>
          </cell>
          <cell r="J86">
            <v>1.3949509244530769E-2</v>
          </cell>
        </row>
        <row r="87">
          <cell r="B87" t="str">
            <v>CO2_T</v>
          </cell>
          <cell r="C87" t="str">
            <v>VAR_fout</v>
          </cell>
          <cell r="D87" t="str">
            <v>TFLGV-ICEGSL</v>
          </cell>
          <cell r="E87">
            <v>26.449630580589101</v>
          </cell>
          <cell r="F87">
            <v>42.585773712993081</v>
          </cell>
          <cell r="G87">
            <v>68.591596203681888</v>
          </cell>
          <cell r="H87">
            <v>100.5931915713584</v>
          </cell>
          <cell r="I87">
            <v>108.35785666238669</v>
          </cell>
          <cell r="J87">
            <v>131.70708439266349</v>
          </cell>
        </row>
        <row r="88">
          <cell r="B88" t="str">
            <v>CO2_T</v>
          </cell>
          <cell r="C88" t="str">
            <v>VAR_fout</v>
          </cell>
          <cell r="D88" t="str">
            <v>T_C-ICE-GSL-S2</v>
          </cell>
          <cell r="E88">
            <v>272.60414055728768</v>
          </cell>
          <cell r="F88">
            <v>391.63260724901625</v>
          </cell>
          <cell r="G88">
            <v>387.01942146642011</v>
          </cell>
          <cell r="H88">
            <v>303.5383526535029</v>
          </cell>
          <cell r="I88">
            <v>0.1945741979271457</v>
          </cell>
          <cell r="J88">
            <v>3.644767536374853E-2</v>
          </cell>
        </row>
        <row r="89">
          <cell r="B89" t="str">
            <v>CO2_T</v>
          </cell>
          <cell r="C89" t="str">
            <v>VAR_fout</v>
          </cell>
          <cell r="D89" t="str">
            <v>T_C-ICE-DSL-S1</v>
          </cell>
          <cell r="E89">
            <v>0.3867823938582276</v>
          </cell>
          <cell r="F89">
            <v>0.42998112314793374</v>
          </cell>
          <cell r="G89">
            <v>0.32842825950346533</v>
          </cell>
          <cell r="H89">
            <v>0.24020093856664859</v>
          </cell>
          <cell r="I89">
            <v>2.5176624701958059E-2</v>
          </cell>
          <cell r="J89">
            <v>8.7646765400008486E-3</v>
          </cell>
        </row>
        <row r="90">
          <cell r="B90" t="str">
            <v>CO2_T</v>
          </cell>
          <cell r="C90" t="str">
            <v>VAR_fout</v>
          </cell>
          <cell r="D90" t="str">
            <v>T_C-ICE-GSL-S3</v>
          </cell>
          <cell r="E90">
            <v>267.04047267625197</v>
          </cell>
          <cell r="F90">
            <v>423.60746930398318</v>
          </cell>
          <cell r="G90">
            <v>520.70857554849522</v>
          </cell>
          <cell r="H90">
            <v>427.27785486369777</v>
          </cell>
          <cell r="I90">
            <v>9.0310644472293067</v>
          </cell>
          <cell r="J90">
            <v>7.0581779311559401E-2</v>
          </cell>
        </row>
        <row r="91">
          <cell r="B91" t="str">
            <v>CO2_T</v>
          </cell>
          <cell r="C91" t="str">
            <v>VAR_fout</v>
          </cell>
          <cell r="D91" t="str">
            <v>T_C-ICE-DSL-S2</v>
          </cell>
          <cell r="E91">
            <v>89.570900658112137</v>
          </cell>
          <cell r="F91">
            <v>94.047861562069471</v>
          </cell>
          <cell r="G91">
            <v>81.480201908930766</v>
          </cell>
          <cell r="H91">
            <v>67.808003592599519</v>
          </cell>
          <cell r="I91">
            <v>4.7666963153071035E-2</v>
          </cell>
          <cell r="J91">
            <v>1.6718803518566579E-2</v>
          </cell>
        </row>
        <row r="92">
          <cell r="B92" t="str">
            <v>CO2_T</v>
          </cell>
          <cell r="C92" t="str">
            <v>VAR_fout</v>
          </cell>
          <cell r="D92" t="str">
            <v>T_C-ICE-GSL-S4</v>
          </cell>
          <cell r="E92">
            <v>278.5236130817849</v>
          </cell>
          <cell r="F92">
            <v>387.49621050145629</v>
          </cell>
          <cell r="G92">
            <v>977.62135178068661</v>
          </cell>
          <cell r="H92">
            <v>2159.4030897951352</v>
          </cell>
          <cell r="I92">
            <v>2456.3971317475725</v>
          </cell>
          <cell r="J92">
            <v>1669.8475292812359</v>
          </cell>
        </row>
        <row r="93">
          <cell r="B93" t="str">
            <v>CO2_T</v>
          </cell>
          <cell r="C93" t="str">
            <v>VAR_fout</v>
          </cell>
          <cell r="D93" t="str">
            <v>T_C-ICE-DSL-S3</v>
          </cell>
          <cell r="E93">
            <v>369.82381293121222</v>
          </cell>
          <cell r="F93">
            <v>390.45095878075568</v>
          </cell>
          <cell r="G93">
            <v>386.72051233919751</v>
          </cell>
          <cell r="H93">
            <v>295.36255902001483</v>
          </cell>
          <cell r="I93">
            <v>5.7451890058727077E-2</v>
          </cell>
          <cell r="J93">
            <v>2.3084631647855031E-2</v>
          </cell>
        </row>
        <row r="94">
          <cell r="B94" t="str">
            <v>CO2_T</v>
          </cell>
          <cell r="C94" t="str">
            <v>VAR_fout</v>
          </cell>
          <cell r="D94" t="str">
            <v>T_C-ICE-DSL-S4</v>
          </cell>
          <cell r="E94">
            <v>142.17460929109811</v>
          </cell>
          <cell r="F94">
            <v>162.05321691145116</v>
          </cell>
          <cell r="G94">
            <v>159.28116739531052</v>
          </cell>
          <cell r="H94">
            <v>122.68598006511168</v>
          </cell>
          <cell r="I94">
            <v>3.1919421131400789E-2</v>
          </cell>
          <cell r="J94">
            <v>1.4811236251319679E-2</v>
          </cell>
        </row>
        <row r="95">
          <cell r="B95" t="str">
            <v>CO2_T</v>
          </cell>
          <cell r="C95" t="str">
            <v>VAR_fout</v>
          </cell>
          <cell r="D95" t="str">
            <v>TFLGV-ICENGAExt</v>
          </cell>
          <cell r="E95">
            <v>6.0630779570173798</v>
          </cell>
          <cell r="F95">
            <v>1.82796909275505</v>
          </cell>
          <cell r="G95">
            <v>3.9537615946460098</v>
          </cell>
          <cell r="H95">
            <v>1.7877905993149499E-3</v>
          </cell>
        </row>
        <row r="96">
          <cell r="B96" t="str">
            <v>CO2_T</v>
          </cell>
          <cell r="C96" t="str">
            <v>VAR_fout</v>
          </cell>
          <cell r="D96" t="str">
            <v>T_B_u-HYBDSL-S1</v>
          </cell>
          <cell r="F96">
            <v>15.715907403643</v>
          </cell>
          <cell r="G96">
            <v>15.729363370980629</v>
          </cell>
          <cell r="H96">
            <v>9.9966007396775913E-3</v>
          </cell>
          <cell r="I96">
            <v>2.3883198949072926E-2</v>
          </cell>
          <cell r="J96">
            <v>1.8979689092454951E-2</v>
          </cell>
        </row>
        <row r="97">
          <cell r="B97" t="str">
            <v>CO2_T</v>
          </cell>
          <cell r="C97" t="str">
            <v>VAR_fout</v>
          </cell>
          <cell r="D97" t="str">
            <v>T_B_u-HYBDSL-S2</v>
          </cell>
          <cell r="F97">
            <v>0.37435636298075597</v>
          </cell>
          <cell r="G97">
            <v>0.38336713827787444</v>
          </cell>
          <cell r="H97">
            <v>1.7807528130576591E-2</v>
          </cell>
          <cell r="I97">
            <v>2.5424396031315535E-2</v>
          </cell>
          <cell r="J97">
            <v>1.7820245616250729E-2</v>
          </cell>
        </row>
        <row r="98">
          <cell r="B98" t="str">
            <v>CO2_T</v>
          </cell>
          <cell r="C98" t="str">
            <v>VAR_fout</v>
          </cell>
          <cell r="D98" t="str">
            <v>T_B_u-HYBDSL-S3</v>
          </cell>
          <cell r="F98">
            <v>3.2389663791882701</v>
          </cell>
          <cell r="G98">
            <v>42.04684891109018</v>
          </cell>
          <cell r="H98">
            <v>69.02154324473679</v>
          </cell>
          <cell r="I98">
            <v>83.385093949794694</v>
          </cell>
          <cell r="J98">
            <v>97.898149325219606</v>
          </cell>
        </row>
        <row r="99">
          <cell r="B99" t="str">
            <v>CO2_T</v>
          </cell>
          <cell r="C99" t="str">
            <v>VAR_fout</v>
          </cell>
          <cell r="D99" t="str">
            <v>T_C-HY-GSL-S1</v>
          </cell>
          <cell r="E99">
            <v>3.4018052762956379</v>
          </cell>
          <cell r="F99">
            <v>3.922055453902614</v>
          </cell>
          <cell r="G99">
            <v>2.7551922939210356</v>
          </cell>
          <cell r="H99">
            <v>2.1202093011832841</v>
          </cell>
          <cell r="I99">
            <v>61.086298332653385</v>
          </cell>
          <cell r="J99">
            <v>24.749520045352337</v>
          </cell>
        </row>
        <row r="100">
          <cell r="B100" t="str">
            <v>CO2_T</v>
          </cell>
          <cell r="C100" t="str">
            <v>VAR_fout</v>
          </cell>
          <cell r="D100" t="str">
            <v>T_B_u-HYBDSL-S4</v>
          </cell>
          <cell r="I100">
            <v>7.9719925017741194E-4</v>
          </cell>
        </row>
        <row r="101">
          <cell r="B101" t="str">
            <v>CO2_T</v>
          </cell>
          <cell r="C101" t="str">
            <v>VAR_fout</v>
          </cell>
          <cell r="D101" t="str">
            <v>TFRLFDSLEXT</v>
          </cell>
          <cell r="E101">
            <v>29.0334272947361</v>
          </cell>
          <cell r="F101">
            <v>20.325298718597999</v>
          </cell>
          <cell r="G101">
            <v>2.2521917132756499E-2</v>
          </cell>
          <cell r="H101">
            <v>2.3483699824504701E-2</v>
          </cell>
          <cell r="I101">
            <v>2.3633417561641199E-2</v>
          </cell>
        </row>
        <row r="102">
          <cell r="B102" t="str">
            <v>CO2_T</v>
          </cell>
          <cell r="C102" t="str">
            <v>VAR_fout</v>
          </cell>
          <cell r="D102" t="str">
            <v>T_C-HY-GSL-S2</v>
          </cell>
          <cell r="E102">
            <v>10.00370232203254</v>
          </cell>
          <cell r="F102">
            <v>15.123464747853875</v>
          </cell>
          <cell r="G102">
            <v>21.859071882472307</v>
          </cell>
          <cell r="H102">
            <v>17.649775160837706</v>
          </cell>
          <cell r="I102">
            <v>56.658905724803461</v>
          </cell>
          <cell r="J102">
            <v>87.215383439524757</v>
          </cell>
        </row>
        <row r="103">
          <cell r="B103" t="str">
            <v>CO2_T</v>
          </cell>
          <cell r="C103" t="str">
            <v>VAR_fout</v>
          </cell>
          <cell r="D103" t="str">
            <v>TPSHPNGAEXT</v>
          </cell>
          <cell r="F103">
            <v>3.7618711935225397E-5</v>
          </cell>
          <cell r="G103">
            <v>299.68532689958698</v>
          </cell>
          <cell r="H103">
            <v>511.72091124635602</v>
          </cell>
          <cell r="I103">
            <v>4.0556281571768198E-4</v>
          </cell>
          <cell r="J103">
            <v>7.7573120155208805E-4</v>
          </cell>
        </row>
        <row r="104">
          <cell r="B104" t="str">
            <v>CO2_T</v>
          </cell>
          <cell r="C104" t="str">
            <v>VAR_fout</v>
          </cell>
          <cell r="D104" t="str">
            <v>T_C-HY-DSL-S1</v>
          </cell>
          <cell r="E104">
            <v>2.3015649832802301E-3</v>
          </cell>
          <cell r="F104">
            <v>1.1659000514962589E-2</v>
          </cell>
          <cell r="G104">
            <v>4.187812822067128E-2</v>
          </cell>
          <cell r="H104">
            <v>4.8860316167235074E-2</v>
          </cell>
          <cell r="I104">
            <v>53.805537262013416</v>
          </cell>
          <cell r="J104">
            <v>17.869930544701081</v>
          </cell>
        </row>
        <row r="105">
          <cell r="B105" t="str">
            <v>CO2_T</v>
          </cell>
          <cell r="C105" t="str">
            <v>VAR_fout</v>
          </cell>
          <cell r="D105" t="str">
            <v>T_C-HY-GSL-S3</v>
          </cell>
          <cell r="E105">
            <v>7.4831139683350791</v>
          </cell>
          <cell r="F105">
            <v>105.9590526504396</v>
          </cell>
          <cell r="G105">
            <v>100.16155680061915</v>
          </cell>
          <cell r="H105">
            <v>80.151289026087909</v>
          </cell>
          <cell r="I105">
            <v>5.0657165074780491E-2</v>
          </cell>
          <cell r="J105">
            <v>3.143551622272206E-2</v>
          </cell>
        </row>
        <row r="106">
          <cell r="B106" t="str">
            <v>CO2_T</v>
          </cell>
          <cell r="C106" t="str">
            <v>VAR_fout</v>
          </cell>
          <cell r="D106" t="str">
            <v>T_C-HY-DSL-S2</v>
          </cell>
          <cell r="E106">
            <v>0.20941585079654318</v>
          </cell>
          <cell r="F106">
            <v>49.877877517858316</v>
          </cell>
          <cell r="G106">
            <v>85.514041866874749</v>
          </cell>
          <cell r="H106">
            <v>71.641876899210231</v>
          </cell>
          <cell r="I106">
            <v>35.761111690442419</v>
          </cell>
          <cell r="J106">
            <v>108.71741078344627</v>
          </cell>
        </row>
        <row r="107">
          <cell r="B107" t="str">
            <v>CO2_T</v>
          </cell>
          <cell r="C107" t="str">
            <v>VAR_fout</v>
          </cell>
          <cell r="D107" t="str">
            <v>T_C-HY-GSL-S4</v>
          </cell>
          <cell r="E107">
            <v>6.695370241340048</v>
          </cell>
          <cell r="F107">
            <v>9.9926582005752831</v>
          </cell>
          <cell r="G107">
            <v>9.6119244195402711</v>
          </cell>
          <cell r="H107">
            <v>7.9639346299515603</v>
          </cell>
          <cell r="I107">
            <v>6.488091094372353E-2</v>
          </cell>
          <cell r="J107">
            <v>9.8040580548093836E-2</v>
          </cell>
        </row>
        <row r="108">
          <cell r="B108" t="str">
            <v>CO2_T</v>
          </cell>
          <cell r="C108" t="str">
            <v>VAR_fout</v>
          </cell>
          <cell r="D108" t="str">
            <v>T_C-HY-DSL-S3</v>
          </cell>
          <cell r="E108">
            <v>2.1795308407669847</v>
          </cell>
          <cell r="F108">
            <v>3.3186389357061499</v>
          </cell>
          <cell r="G108">
            <v>3.1778043574332826</v>
          </cell>
          <cell r="H108">
            <v>2.3911583300885684</v>
          </cell>
          <cell r="I108">
            <v>5.0599898326009446E-2</v>
          </cell>
          <cell r="J108">
            <v>3.1329737781458838E-2</v>
          </cell>
        </row>
        <row r="109">
          <cell r="B109" t="str">
            <v>CO2_T</v>
          </cell>
          <cell r="C109" t="str">
            <v>VAR_fout</v>
          </cell>
          <cell r="D109" t="str">
            <v>T_C-HY-DSL-S4</v>
          </cell>
          <cell r="E109">
            <v>2.5950334718783048</v>
          </cell>
          <cell r="F109">
            <v>5.2199350878656832</v>
          </cell>
          <cell r="G109">
            <v>4.9497294028882433</v>
          </cell>
          <cell r="H109">
            <v>4.0697288893141677</v>
          </cell>
          <cell r="I109">
            <v>6.4653751237782248E-2</v>
          </cell>
          <cell r="J109">
            <v>9.9621694611251768E-2</v>
          </cell>
        </row>
        <row r="110">
          <cell r="B110" t="str">
            <v>CO2_T</v>
          </cell>
          <cell r="C110" t="str">
            <v>VAR_fout</v>
          </cell>
          <cell r="D110" t="str">
            <v>TFHGV-HYBDSL</v>
          </cell>
          <cell r="F110">
            <v>395.15830225592498</v>
          </cell>
          <cell r="G110">
            <v>562.56751239741504</v>
          </cell>
          <cell r="H110">
            <v>845.47703190017205</v>
          </cell>
          <cell r="I110">
            <v>1125.994570473832</v>
          </cell>
          <cell r="J110">
            <v>1217.4706141116751</v>
          </cell>
        </row>
        <row r="111">
          <cell r="B111" t="str">
            <v>CO2_T</v>
          </cell>
          <cell r="C111" t="str">
            <v>VAR_fout</v>
          </cell>
          <cell r="D111" t="str">
            <v>TFHGV-ICEDSL</v>
          </cell>
          <cell r="E111">
            <v>381.06405134734979</v>
          </cell>
          <cell r="F111">
            <v>0.14528518115388375</v>
          </cell>
          <cell r="G111">
            <v>0.21819879858323016</v>
          </cell>
          <cell r="H111">
            <v>0.1768276744159909</v>
          </cell>
          <cell r="I111">
            <v>0.1371379861562613</v>
          </cell>
          <cell r="J111">
            <v>4.24005342864913E-2</v>
          </cell>
        </row>
        <row r="112">
          <cell r="B112" t="str">
            <v>CO2_T</v>
          </cell>
          <cell r="C112" t="str">
            <v>VAR_fout</v>
          </cell>
          <cell r="D112" t="str">
            <v>T-Plg-DSL-mix_S1</v>
          </cell>
          <cell r="E112">
            <v>1.25987281290818E-3</v>
          </cell>
          <cell r="F112">
            <v>0.17361861369666021</v>
          </cell>
          <cell r="G112">
            <v>0.12883551742578137</v>
          </cell>
          <cell r="H112">
            <v>0.10349364585972243</v>
          </cell>
          <cell r="I112">
            <v>2.598949819927919E-2</v>
          </cell>
          <cell r="J112">
            <v>1.2752875696589821E-2</v>
          </cell>
        </row>
        <row r="113">
          <cell r="B113" t="str">
            <v>CO2_T</v>
          </cell>
          <cell r="C113" t="str">
            <v>VAR_fout</v>
          </cell>
          <cell r="D113" t="str">
            <v>T-Plg-DSL-mix_S2</v>
          </cell>
          <cell r="E113">
            <v>6.6874136122245899E-4</v>
          </cell>
          <cell r="F113">
            <v>4.1521115279969503E-2</v>
          </cell>
          <cell r="G113">
            <v>0.12325189586196676</v>
          </cell>
          <cell r="H113">
            <v>0.16736383509552691</v>
          </cell>
          <cell r="I113">
            <v>0.12520787962530314</v>
          </cell>
          <cell r="J113">
            <v>5.3776992100988304E-2</v>
          </cell>
        </row>
        <row r="114">
          <cell r="B114" t="str">
            <v>CO2_T</v>
          </cell>
          <cell r="C114" t="str">
            <v>VAR_fout</v>
          </cell>
          <cell r="D114" t="str">
            <v>T-Plg-DSL-mix_S3</v>
          </cell>
          <cell r="E114">
            <v>7.4326822216002602E-3</v>
          </cell>
          <cell r="F114">
            <v>12.07024230117066</v>
          </cell>
          <cell r="G114">
            <v>62.171461750180697</v>
          </cell>
          <cell r="H114">
            <v>401.4728931669755</v>
          </cell>
          <cell r="I114">
            <v>830.09952530440239</v>
          </cell>
          <cell r="J114">
            <v>439.64127676880344</v>
          </cell>
        </row>
        <row r="115">
          <cell r="B115" t="str">
            <v>CO2_T</v>
          </cell>
          <cell r="C115" t="str">
            <v>VAR_fout</v>
          </cell>
          <cell r="D115" t="str">
            <v>T_B_c-ICEDSL-S1</v>
          </cell>
          <cell r="E115">
            <v>8.3187859537266107</v>
          </cell>
          <cell r="F115">
            <v>0.40074664603687832</v>
          </cell>
          <cell r="G115">
            <v>5.436188214680171</v>
          </cell>
        </row>
        <row r="116">
          <cell r="B116" t="str">
            <v>CO2_T</v>
          </cell>
          <cell r="C116" t="str">
            <v>VAR_fout</v>
          </cell>
          <cell r="D116" t="str">
            <v>T-Plg-DSL-mix_S4</v>
          </cell>
          <cell r="E116">
            <v>0.43018775725161601</v>
          </cell>
          <cell r="F116">
            <v>45.360258573519999</v>
          </cell>
          <cell r="G116">
            <v>41.291243961650302</v>
          </cell>
          <cell r="H116">
            <v>31.837541860764908</v>
          </cell>
          <cell r="I116">
            <v>0.16180228750774117</v>
          </cell>
          <cell r="J116">
            <v>6.6900323818529797E-2</v>
          </cell>
        </row>
        <row r="117">
          <cell r="B117" t="str">
            <v>CO2_T</v>
          </cell>
          <cell r="C117" t="str">
            <v>VAR_fout</v>
          </cell>
          <cell r="D117" t="str">
            <v>T_B_c-ICEDSL-S2</v>
          </cell>
          <cell r="E117">
            <v>38.086835681541196</v>
          </cell>
          <cell r="F117">
            <v>28.895595814503363</v>
          </cell>
          <cell r="G117">
            <v>35.21814733912111</v>
          </cell>
          <cell r="I117">
            <v>2.6987291254351699E-5</v>
          </cell>
        </row>
        <row r="118">
          <cell r="B118" t="str">
            <v>CO2_T</v>
          </cell>
          <cell r="C118" t="str">
            <v>VAR_fout</v>
          </cell>
          <cell r="D118" t="str">
            <v>T_B_c-ICEDSL-S3</v>
          </cell>
          <cell r="E118">
            <v>11.541479466530401</v>
          </cell>
          <cell r="F118">
            <v>9.3201373198802653</v>
          </cell>
          <cell r="G118">
            <v>11.437116490289238</v>
          </cell>
          <cell r="I118">
            <v>2.0322781867539679E-4</v>
          </cell>
          <cell r="J118">
            <v>1.2849104825199799E-4</v>
          </cell>
        </row>
        <row r="119">
          <cell r="B119" t="str">
            <v>CO2_T</v>
          </cell>
          <cell r="C119" t="str">
            <v>VAR_fout</v>
          </cell>
          <cell r="D119" t="str">
            <v>T_B_c-ICEDSL-S4</v>
          </cell>
          <cell r="E119">
            <v>0.94800217524212105</v>
          </cell>
          <cell r="G119">
            <v>1.2492661312149067E-3</v>
          </cell>
        </row>
        <row r="120">
          <cell r="B120" t="str">
            <v>CO2_T</v>
          </cell>
          <cell r="C120" t="str">
            <v>VAR_fout</v>
          </cell>
          <cell r="D120" t="str">
            <v>T_B_u-ICENGA-S1</v>
          </cell>
          <cell r="F120">
            <v>4.3661665036644898E-3</v>
          </cell>
          <cell r="G120">
            <v>4.41876617449884E-2</v>
          </cell>
          <cell r="H120">
            <v>1.6909316999573801E-5</v>
          </cell>
          <cell r="I120">
            <v>1.10037898693677E-4</v>
          </cell>
          <cell r="J120">
            <v>7.0430887728430697E-5</v>
          </cell>
        </row>
        <row r="121">
          <cell r="B121" t="str">
            <v>CO2_T</v>
          </cell>
          <cell r="C121" t="str">
            <v>VAR_fout</v>
          </cell>
          <cell r="D121" t="str">
            <v>T_B_u-ICENGA-S2</v>
          </cell>
          <cell r="F121">
            <v>3.1567640496265102E-3</v>
          </cell>
          <cell r="G121">
            <v>1.0179418179266193</v>
          </cell>
        </row>
        <row r="122">
          <cell r="B122" t="str">
            <v>CO2_T</v>
          </cell>
          <cell r="C122" t="str">
            <v>VAR_fout</v>
          </cell>
          <cell r="D122" t="str">
            <v>T_B_c-ICEDSLEXT</v>
          </cell>
          <cell r="E122">
            <v>0.44189690195514902</v>
          </cell>
          <cell r="F122">
            <v>0.44078837146552902</v>
          </cell>
          <cell r="G122">
            <v>0.43757925191659103</v>
          </cell>
        </row>
        <row r="123">
          <cell r="B123" t="str">
            <v>CO2_T</v>
          </cell>
          <cell r="C123" t="str">
            <v>VAR_fout</v>
          </cell>
          <cell r="D123" t="str">
            <v>T_B_u-ICENGA-S3</v>
          </cell>
          <cell r="F123">
            <v>1.3751213571649001E-3</v>
          </cell>
          <cell r="G123">
            <v>9.4550867948096501E-3</v>
          </cell>
          <cell r="I123">
            <v>7.0857591578582903E-5</v>
          </cell>
          <cell r="J123">
            <v>7.4968677777135504E-6</v>
          </cell>
        </row>
        <row r="124">
          <cell r="B124" t="str">
            <v>CO2_T</v>
          </cell>
          <cell r="C124" t="str">
            <v>VAR_comnet</v>
          </cell>
          <cell r="D124" t="str">
            <v>-</v>
          </cell>
          <cell r="E124">
            <v>15023.894918649101</v>
          </cell>
          <cell r="F124">
            <v>14302.094724684401</v>
          </cell>
          <cell r="G124">
            <v>12546.7824906677</v>
          </cell>
          <cell r="H124">
            <v>9796.0391328066107</v>
          </cell>
          <cell r="I124">
            <v>7071.7616573087698</v>
          </cell>
          <cell r="J124">
            <v>6015.9997072066699</v>
          </cell>
        </row>
        <row r="125">
          <cell r="B125" t="str">
            <v>CO2</v>
          </cell>
          <cell r="C125" t="str">
            <v>VAR_fout</v>
          </cell>
          <cell r="D125" t="str">
            <v>othGHG</v>
          </cell>
          <cell r="E125">
            <v>9468.5879275113693</v>
          </cell>
          <cell r="F125">
            <v>9176.4194224459407</v>
          </cell>
          <cell r="G125">
            <v>8884.2509173804901</v>
          </cell>
          <cell r="H125">
            <v>8800.9971324737107</v>
          </cell>
          <cell r="I125">
            <v>9021.5249837065403</v>
          </cell>
          <cell r="J125">
            <v>9394.5637643700102</v>
          </cell>
        </row>
        <row r="126">
          <cell r="B126" t="str">
            <v>CO2</v>
          </cell>
          <cell r="C126" t="str">
            <v>VAR_fout</v>
          </cell>
          <cell r="D126" t="str">
            <v>D-ICOA</v>
          </cell>
          <cell r="E126">
            <v>330.012108506907</v>
          </cell>
          <cell r="F126">
            <v>321.17922530672502</v>
          </cell>
          <cell r="G126">
            <v>299.01219566331798</v>
          </cell>
          <cell r="H126">
            <v>7.0751732194216502E-2</v>
          </cell>
          <cell r="I126">
            <v>3.0932403461826699E-2</v>
          </cell>
          <cell r="J126">
            <v>8.8737473570162893E-3</v>
          </cell>
        </row>
        <row r="127">
          <cell r="B127" t="str">
            <v>CO2</v>
          </cell>
          <cell r="C127" t="str">
            <v>VAR_fout</v>
          </cell>
          <cell r="D127" t="str">
            <v>D-ENGA</v>
          </cell>
          <cell r="E127">
            <v>310.79231517410199</v>
          </cell>
          <cell r="F127">
            <v>84.418358839849901</v>
          </cell>
          <cell r="G127">
            <v>0.97474773168043505</v>
          </cell>
          <cell r="H127">
            <v>38.224070032370498</v>
          </cell>
          <cell r="I127">
            <v>10.0452855190759</v>
          </cell>
          <cell r="J127">
            <v>0.22736515110835301</v>
          </cell>
        </row>
        <row r="128">
          <cell r="B128" t="str">
            <v>CO2</v>
          </cell>
          <cell r="C128" t="str">
            <v>VAR_fout</v>
          </cell>
          <cell r="D128" t="str">
            <v>D-ILFO</v>
          </cell>
          <cell r="E128">
            <v>688.83966310621599</v>
          </cell>
          <cell r="F128">
            <v>651.14210038778594</v>
          </cell>
          <cell r="G128">
            <v>615.94043171897795</v>
          </cell>
          <cell r="H128">
            <v>536.08612624866896</v>
          </cell>
          <cell r="I128">
            <v>228.26199883879201</v>
          </cell>
          <cell r="J128">
            <v>4.1372729307139399E-3</v>
          </cell>
        </row>
        <row r="129">
          <cell r="B129" t="str">
            <v>CO2</v>
          </cell>
          <cell r="C129" t="str">
            <v>VAR_fout</v>
          </cell>
          <cell r="D129" t="str">
            <v>D-TDSL</v>
          </cell>
          <cell r="E129">
            <v>8723.4873586597405</v>
          </cell>
          <cell r="F129">
            <v>7944.5329434989699</v>
          </cell>
          <cell r="G129">
            <v>6419.5145331433896</v>
          </cell>
          <cell r="H129">
            <v>4445.9033556992299</v>
          </cell>
          <cell r="I129">
            <v>3777.3099530596101</v>
          </cell>
          <cell r="J129">
            <v>3529.4084766946198</v>
          </cell>
        </row>
        <row r="130">
          <cell r="B130" t="str">
            <v>CO2</v>
          </cell>
          <cell r="C130" t="str">
            <v>VAR_fout</v>
          </cell>
          <cell r="D130" t="str">
            <v>D-CNGA</v>
          </cell>
          <cell r="H130">
            <v>0.215775518497131</v>
          </cell>
          <cell r="I130">
            <v>164.69092457669299</v>
          </cell>
          <cell r="J130">
            <v>2.6702144143627302E-2</v>
          </cell>
        </row>
        <row r="131">
          <cell r="B131" t="str">
            <v>CO2</v>
          </cell>
          <cell r="C131" t="str">
            <v>VAR_fout</v>
          </cell>
          <cell r="D131" t="str">
            <v>ITOT-PROCESSCO2</v>
          </cell>
          <cell r="E131">
            <v>2089.34680048464</v>
          </cell>
          <cell r="F131">
            <v>2111.0131698740802</v>
          </cell>
          <cell r="G131">
            <v>2102.26947106126</v>
          </cell>
          <cell r="H131">
            <v>2093.6570624126398</v>
          </cell>
          <cell r="I131">
            <v>2077.4128471263102</v>
          </cell>
          <cell r="J131">
            <v>2063.74855625499</v>
          </cell>
        </row>
        <row r="132">
          <cell r="B132" t="str">
            <v>CO2</v>
          </cell>
          <cell r="C132" t="str">
            <v>VAR_fout</v>
          </cell>
          <cell r="D132" t="str">
            <v>D-ELFO</v>
          </cell>
          <cell r="E132">
            <v>26.218083112941201</v>
          </cell>
          <cell r="F132">
            <v>177.04439333735201</v>
          </cell>
          <cell r="G132">
            <v>0.57880835599688796</v>
          </cell>
          <cell r="H132">
            <v>0.30014618763735901</v>
          </cell>
          <cell r="I132">
            <v>0.405015647878469</v>
          </cell>
          <cell r="J132">
            <v>0.132699133806498</v>
          </cell>
        </row>
        <row r="133">
          <cell r="B133" t="str">
            <v>CO2</v>
          </cell>
          <cell r="C133" t="str">
            <v>VAR_fout</v>
          </cell>
          <cell r="D133" t="str">
            <v>D-TNGA</v>
          </cell>
          <cell r="E133">
            <v>13.9898803723217</v>
          </cell>
          <cell r="F133">
            <v>6.0184324186263503</v>
          </cell>
          <cell r="G133">
            <v>274.26681603329803</v>
          </cell>
          <cell r="H133">
            <v>513.38005731923499</v>
          </cell>
          <cell r="I133">
            <v>8.9723899144005401E-2</v>
          </cell>
          <cell r="J133">
            <v>8.3078643055222196E-2</v>
          </cell>
        </row>
        <row r="134">
          <cell r="B134" t="str">
            <v>CO2</v>
          </cell>
          <cell r="C134" t="str">
            <v>VAR_fout</v>
          </cell>
          <cell r="D134" t="str">
            <v>D-SNGA</v>
          </cell>
          <cell r="E134">
            <v>1521.9392627894199</v>
          </cell>
          <cell r="F134">
            <v>1512.9595828792901</v>
          </cell>
          <cell r="G134">
            <v>1355.8761448857999</v>
          </cell>
          <cell r="H134">
            <v>1285.57585731616</v>
          </cell>
          <cell r="I134">
            <v>952.49832642216495</v>
          </cell>
          <cell r="J134">
            <v>675.06957809255198</v>
          </cell>
        </row>
        <row r="135">
          <cell r="B135" t="str">
            <v>CO2</v>
          </cell>
          <cell r="C135" t="str">
            <v>VAR_fout</v>
          </cell>
          <cell r="D135" t="str">
            <v>D-RNGA</v>
          </cell>
          <cell r="E135">
            <v>2650.6777191362899</v>
          </cell>
          <cell r="F135">
            <v>2610.2149371499399</v>
          </cell>
          <cell r="G135">
            <v>2663.51849362954</v>
          </cell>
          <cell r="H135">
            <v>2528.01784469326</v>
          </cell>
          <cell r="I135">
            <v>2537.3725634397802</v>
          </cell>
          <cell r="J135">
            <v>1947.4709268366701</v>
          </cell>
        </row>
        <row r="136">
          <cell r="B136" t="str">
            <v>CO2</v>
          </cell>
          <cell r="C136" t="str">
            <v>VAR_fout</v>
          </cell>
          <cell r="D136" t="str">
            <v>D-IHFO</v>
          </cell>
          <cell r="E136">
            <v>213.78046343474699</v>
          </cell>
          <cell r="F136">
            <v>1.75417521049731E-2</v>
          </cell>
          <cell r="G136">
            <v>5.1462617345054598E-2</v>
          </cell>
          <cell r="H136">
            <v>3.4340166553331497E-2</v>
          </cell>
          <cell r="I136">
            <v>2.7740259030027699E-2</v>
          </cell>
        </row>
        <row r="137">
          <cell r="B137" t="str">
            <v>CO2</v>
          </cell>
          <cell r="C137" t="str">
            <v>VAR_fout</v>
          </cell>
          <cell r="D137" t="str">
            <v>D-SLFO</v>
          </cell>
          <cell r="E137">
            <v>2267.78865391519</v>
          </cell>
          <cell r="F137">
            <v>2030.3035526751901</v>
          </cell>
          <cell r="G137">
            <v>2011.59434530831</v>
          </cell>
          <cell r="H137">
            <v>1472.28355173204</v>
          </cell>
          <cell r="I137">
            <v>917.80751855723497</v>
          </cell>
          <cell r="J137">
            <v>389.98420063097598</v>
          </cell>
        </row>
        <row r="138">
          <cell r="B138" t="str">
            <v>CO2</v>
          </cell>
          <cell r="C138" t="str">
            <v>VAR_fout</v>
          </cell>
          <cell r="D138" t="str">
            <v>D-RCOA</v>
          </cell>
          <cell r="E138">
            <v>9.27002383197431</v>
          </cell>
          <cell r="F138">
            <v>9.2700116423689494</v>
          </cell>
          <cell r="G138">
            <v>2.4985298449806099</v>
          </cell>
          <cell r="H138">
            <v>0.56189103066610602</v>
          </cell>
        </row>
        <row r="139">
          <cell r="B139" t="str">
            <v>CO2</v>
          </cell>
          <cell r="C139" t="str">
            <v>VAR_fout</v>
          </cell>
          <cell r="D139" t="str">
            <v>D-RLFO</v>
          </cell>
          <cell r="E139">
            <v>4514.4824243991197</v>
          </cell>
          <cell r="F139">
            <v>3846.5256430904701</v>
          </cell>
          <cell r="G139">
            <v>3759.02184530365</v>
          </cell>
          <cell r="H139">
            <v>2459.9452613243502</v>
          </cell>
          <cell r="I139">
            <v>1305.95849287279</v>
          </cell>
          <cell r="J139">
            <v>429.479741625636</v>
          </cell>
        </row>
        <row r="140">
          <cell r="B140" t="str">
            <v>CO2</v>
          </cell>
          <cell r="C140" t="str">
            <v>VAR_fout</v>
          </cell>
          <cell r="D140" t="str">
            <v>D-TGSL</v>
          </cell>
          <cell r="E140">
            <v>5867.5668658576697</v>
          </cell>
          <cell r="F140">
            <v>5899.1156624618898</v>
          </cell>
          <cell r="G140">
            <v>5335.5364440124104</v>
          </cell>
          <cell r="H140">
            <v>4358.9113485912203</v>
          </cell>
          <cell r="I140">
            <v>2981.7325046422102</v>
          </cell>
          <cell r="J140">
            <v>2227.1078855731798</v>
          </cell>
        </row>
        <row r="141">
          <cell r="B141" t="str">
            <v>CO2</v>
          </cell>
          <cell r="C141" t="str">
            <v>VAR_fout</v>
          </cell>
          <cell r="D141" t="str">
            <v>D-IWST</v>
          </cell>
          <cell r="E141">
            <v>1068.12826210768</v>
          </cell>
          <cell r="F141">
            <v>1094.4818939608499</v>
          </cell>
          <cell r="G141">
            <v>1024.6412008371101</v>
          </cell>
          <cell r="H141">
            <v>1013.19793669559</v>
          </cell>
          <cell r="I141">
            <v>996.69826253847805</v>
          </cell>
          <cell r="J141">
            <v>986.58512518585701</v>
          </cell>
        </row>
        <row r="142">
          <cell r="B142" t="str">
            <v>CO2</v>
          </cell>
          <cell r="C142" t="str">
            <v>VAR_fout</v>
          </cell>
          <cell r="D142" t="str">
            <v>D-TKER</v>
          </cell>
          <cell r="E142">
            <v>80.763254672403804</v>
          </cell>
          <cell r="F142">
            <v>102.299643522715</v>
          </cell>
          <cell r="G142">
            <v>134.604226798182</v>
          </cell>
          <cell r="H142">
            <v>144.739714223059</v>
          </cell>
          <cell r="I142">
            <v>25.313774663115701</v>
          </cell>
          <cell r="J142">
            <v>7.7284417032708703E-4</v>
          </cell>
        </row>
        <row r="143">
          <cell r="B143" t="str">
            <v>CO2</v>
          </cell>
          <cell r="C143" t="str">
            <v>VAR_fout</v>
          </cell>
          <cell r="D143" t="str">
            <v>D-INGA</v>
          </cell>
          <cell r="E143">
            <v>2101.49102029609</v>
          </cell>
          <cell r="F143">
            <v>1805.3934043721799</v>
          </cell>
          <cell r="G143">
            <v>1813.56144452694</v>
          </cell>
          <cell r="H143">
            <v>1647.6300411707</v>
          </cell>
          <cell r="I143">
            <v>736.94999161928104</v>
          </cell>
          <cell r="J143">
            <v>121.885506347225</v>
          </cell>
        </row>
        <row r="144">
          <cell r="B144" t="str">
            <v>CO2</v>
          </cell>
          <cell r="C144" t="str">
            <v>VAR_fout</v>
          </cell>
          <cell r="D144" t="str">
            <v>D-EWST</v>
          </cell>
          <cell r="E144">
            <v>2236.6438047817101</v>
          </cell>
          <cell r="F144">
            <v>2235.4032359528601</v>
          </cell>
          <cell r="G144">
            <v>2268.7818866576799</v>
          </cell>
          <cell r="H144">
            <v>2238.51086909983</v>
          </cell>
          <cell r="I144">
            <v>2266.0985273537399</v>
          </cell>
          <cell r="J144">
            <v>2317.38957627032</v>
          </cell>
        </row>
        <row r="145">
          <cell r="B145" t="str">
            <v>CO2_SECTOR</v>
          </cell>
          <cell r="C145" t="str">
            <v>VAR_fout</v>
          </cell>
          <cell r="D145" t="str">
            <v>CO2_H2</v>
          </cell>
          <cell r="H145">
            <v>0.21577551849713056</v>
          </cell>
          <cell r="I145">
            <v>164.69092457669331</v>
          </cell>
          <cell r="J145">
            <v>2.6702144143627253E-2</v>
          </cell>
        </row>
        <row r="146">
          <cell r="B146" t="str">
            <v>CO2_SECTOR</v>
          </cell>
          <cell r="C146" t="str">
            <v>VAR_fout</v>
          </cell>
          <cell r="D146" t="str">
            <v>CO2_IND</v>
          </cell>
          <cell r="E146">
            <v>6491.5983179362738</v>
          </cell>
          <cell r="F146">
            <v>5983.2273356537362</v>
          </cell>
          <cell r="G146">
            <v>5855.476206424958</v>
          </cell>
          <cell r="H146">
            <v>5290.6762584263543</v>
          </cell>
          <cell r="I146">
            <v>4039.3817727853484</v>
          </cell>
          <cell r="J146">
            <v>3172.2321988083618</v>
          </cell>
        </row>
        <row r="147">
          <cell r="B147" t="str">
            <v>CO2_SECTOR</v>
          </cell>
          <cell r="C147" t="str">
            <v>VAR_fout</v>
          </cell>
          <cell r="D147" t="str">
            <v>CO2_RES</v>
          </cell>
          <cell r="E147">
            <v>7174.4301673673799</v>
          </cell>
          <cell r="F147">
            <v>6466.0105918827694</v>
          </cell>
          <cell r="G147">
            <v>6425.0388687781733</v>
          </cell>
          <cell r="H147">
            <v>4988.5249970482791</v>
          </cell>
          <cell r="I147">
            <v>3843.3310563125674</v>
          </cell>
          <cell r="J147">
            <v>2376.9506684623116</v>
          </cell>
        </row>
        <row r="148">
          <cell r="B148" t="str">
            <v>CO2_SECTOR</v>
          </cell>
          <cell r="C148" t="str">
            <v>VAR_fout</v>
          </cell>
          <cell r="D148" t="str">
            <v>CO2_TRA</v>
          </cell>
          <cell r="E148">
            <v>14684.620454313172</v>
          </cell>
          <cell r="F148">
            <v>13950.463277238046</v>
          </cell>
          <cell r="G148">
            <v>12161.943862173188</v>
          </cell>
          <cell r="H148">
            <v>9460.8073658339563</v>
          </cell>
          <cell r="I148">
            <v>6784.0739423805198</v>
          </cell>
          <cell r="J148">
            <v>5756.6002023972269</v>
          </cell>
        </row>
        <row r="149">
          <cell r="B149" t="str">
            <v>CO2_SECTOR</v>
          </cell>
          <cell r="C149" t="str">
            <v>VAR_fout</v>
          </cell>
          <cell r="D149" t="str">
            <v>CO2_ELC</v>
          </cell>
          <cell r="E149">
            <v>2573.6542030687519</v>
          </cell>
          <cell r="F149">
            <v>2496.8659881300632</v>
          </cell>
          <cell r="G149">
            <v>2270.3354427453605</v>
          </cell>
          <cell r="H149">
            <v>2277.0350853198365</v>
          </cell>
          <cell r="I149">
            <v>2276.5488285206966</v>
          </cell>
          <cell r="J149">
            <v>2317.7496405552333</v>
          </cell>
        </row>
        <row r="150">
          <cell r="B150" t="str">
            <v>CO2_SECTOR</v>
          </cell>
          <cell r="C150" t="str">
            <v>VAR_fout</v>
          </cell>
          <cell r="D150" t="str">
            <v>CO2_SER</v>
          </cell>
          <cell r="E150">
            <v>3789.7279167046095</v>
          </cell>
          <cell r="F150">
            <v>3543.2631355544827</v>
          </cell>
          <cell r="G150">
            <v>3367.47049019411</v>
          </cell>
          <cell r="H150">
            <v>2757.8594090481997</v>
          </cell>
          <cell r="I150">
            <v>1870.3058449794012</v>
          </cell>
          <cell r="J150">
            <v>1065.0537787235276</v>
          </cell>
        </row>
        <row r="151">
          <cell r="B151" t="str">
            <v>CO2_SECTOR</v>
          </cell>
          <cell r="C151" t="str">
            <v>VAR_fout</v>
          </cell>
          <cell r="D151" t="str">
            <v>CO2_ELCCCS</v>
          </cell>
          <cell r="E151">
            <v>2573.6542030687519</v>
          </cell>
          <cell r="F151">
            <v>2496.8659881300632</v>
          </cell>
          <cell r="G151">
            <v>2270.3354427453605</v>
          </cell>
          <cell r="H151">
            <v>2277.0350853198365</v>
          </cell>
          <cell r="I151">
            <v>2276.5488285206966</v>
          </cell>
          <cell r="J151">
            <v>2317.7496405552333</v>
          </cell>
        </row>
        <row r="152">
          <cell r="B152" t="str">
            <v>CO2_SECTOR</v>
          </cell>
          <cell r="C152" t="str">
            <v>VAR_fout</v>
          </cell>
          <cell r="D152" t="str">
            <v>CO2_H2CCS</v>
          </cell>
          <cell r="H152">
            <v>0.21577551849713056</v>
          </cell>
          <cell r="I152">
            <v>164.69092457669331</v>
          </cell>
          <cell r="J152">
            <v>2.6702144143627253E-2</v>
          </cell>
        </row>
        <row r="153">
          <cell r="B153" t="str">
            <v>CO2_SECTOR</v>
          </cell>
          <cell r="C153" t="str">
            <v>VAR_fout</v>
          </cell>
          <cell r="D153" t="str">
            <v>CO2_INDCCS</v>
          </cell>
          <cell r="E153">
            <v>6491.5983179362738</v>
          </cell>
          <cell r="F153">
            <v>5983.2273356537362</v>
          </cell>
          <cell r="G153">
            <v>5855.476206424958</v>
          </cell>
          <cell r="H153">
            <v>5290.6762584263543</v>
          </cell>
          <cell r="I153">
            <v>4039.3817727853484</v>
          </cell>
          <cell r="J153">
            <v>3172.2321988083618</v>
          </cell>
        </row>
        <row r="154">
          <cell r="B154" t="str">
            <v>CO2_SECTOR</v>
          </cell>
          <cell r="C154" t="str">
            <v>VAR_comnet</v>
          </cell>
          <cell r="D154" t="str">
            <v>-</v>
          </cell>
          <cell r="E154">
            <v>43779.283580395218</v>
          </cell>
          <cell r="F154">
            <v>40919.923652242891</v>
          </cell>
          <cell r="G154">
            <v>38206.07651948608</v>
          </cell>
          <cell r="H154">
            <v>32343.046010459795</v>
          </cell>
          <cell r="I154">
            <v>25458.953895437975</v>
          </cell>
          <cell r="J154">
            <v>20178.621732598524</v>
          </cell>
        </row>
        <row r="155">
          <cell r="B155" t="str">
            <v>CO2SC</v>
          </cell>
          <cell r="C155" t="str">
            <v>VAR_fout</v>
          </cell>
          <cell r="D155" t="str">
            <v>CO2S1</v>
          </cell>
          <cell r="E155">
            <v>6307.1990227535098</v>
          </cell>
          <cell r="F155">
            <v>6307.1990227535098</v>
          </cell>
          <cell r="G155">
            <v>6307.1990227535098</v>
          </cell>
          <cell r="H155">
            <v>6307.1990227535098</v>
          </cell>
          <cell r="I155">
            <v>6307.1990227535098</v>
          </cell>
          <cell r="J155">
            <v>6307.1990227535098</v>
          </cell>
        </row>
        <row r="156">
          <cell r="B156" t="str">
            <v>CO2P</v>
          </cell>
          <cell r="C156" t="str">
            <v>VAR_fout</v>
          </cell>
          <cell r="D156" t="str">
            <v>ITOT-PROCESSCO2</v>
          </cell>
          <cell r="E156">
            <v>2089.34680048464</v>
          </cell>
          <cell r="F156">
            <v>2111.0131698740802</v>
          </cell>
          <cell r="G156">
            <v>2102.26947106126</v>
          </cell>
          <cell r="H156">
            <v>2093.6570624126398</v>
          </cell>
          <cell r="I156">
            <v>2077.4128471263102</v>
          </cell>
          <cell r="J156">
            <v>2063.74855625499</v>
          </cell>
        </row>
        <row r="157">
          <cell r="B157" t="str">
            <v>CO2P</v>
          </cell>
          <cell r="C157" t="str">
            <v>VAR_comnet</v>
          </cell>
          <cell r="D157" t="str">
            <v>-</v>
          </cell>
          <cell r="E157">
            <v>2089.34680048464</v>
          </cell>
          <cell r="F157">
            <v>2111.0131698740802</v>
          </cell>
          <cell r="G157">
            <v>2102.26947106126</v>
          </cell>
          <cell r="H157">
            <v>2093.6570624126398</v>
          </cell>
          <cell r="I157">
            <v>2077.4128471263102</v>
          </cell>
          <cell r="J157">
            <v>2063.74855625499</v>
          </cell>
        </row>
        <row r="158">
          <cell r="B158" t="str">
            <v>CO2_E</v>
          </cell>
          <cell r="C158" t="str">
            <v>VAR_fout</v>
          </cell>
          <cell r="D158" t="str">
            <v>ENGA-CCS</v>
          </cell>
          <cell r="I158">
            <v>5.0807845730240497E-3</v>
          </cell>
          <cell r="J158">
            <v>2.0384743467246401E-3</v>
          </cell>
        </row>
        <row r="159">
          <cell r="B159" t="str">
            <v>CO2_E</v>
          </cell>
          <cell r="C159" t="str">
            <v>VAR_fout</v>
          </cell>
          <cell r="D159" t="str">
            <v>HPLNGA</v>
          </cell>
          <cell r="E159">
            <v>114.383477865122</v>
          </cell>
          <cell r="F159">
            <v>83.9337814123474</v>
          </cell>
          <cell r="G159">
            <v>0.53158068889584198</v>
          </cell>
          <cell r="H159">
            <v>37.940034175347499</v>
          </cell>
          <cell r="I159">
            <v>2.4691078396871201E-2</v>
          </cell>
          <cell r="J159">
            <v>4.4871819124289404E-3</v>
          </cell>
        </row>
        <row r="160">
          <cell r="B160" t="str">
            <v>CO2_E</v>
          </cell>
          <cell r="C160" t="str">
            <v>VAR_fout</v>
          </cell>
          <cell r="D160" t="str">
            <v>CHPWST</v>
          </cell>
          <cell r="E160">
            <v>2783.99438397923</v>
          </cell>
          <cell r="F160">
            <v>2574.922556302</v>
          </cell>
          <cell r="G160">
            <v>2613.3711470043099</v>
          </cell>
          <cell r="H160">
            <v>2556.3784915699698</v>
          </cell>
          <cell r="I160">
            <v>2541.4889578566799</v>
          </cell>
          <cell r="J160">
            <v>2549.2468662811202</v>
          </cell>
        </row>
        <row r="161">
          <cell r="B161" t="str">
            <v>CO2_E</v>
          </cell>
          <cell r="C161" t="str">
            <v>VAR_fout</v>
          </cell>
          <cell r="D161" t="str">
            <v>CHPNGA</v>
          </cell>
          <cell r="E161">
            <v>207.071153401906</v>
          </cell>
          <cell r="F161">
            <v>0.131793379393638</v>
          </cell>
          <cell r="G161">
            <v>0.25264777553754297</v>
          </cell>
          <cell r="H161">
            <v>0.570675259860978</v>
          </cell>
          <cell r="I161">
            <v>0.49774967344896998</v>
          </cell>
          <cell r="J161">
            <v>5.4397382301358398E-2</v>
          </cell>
        </row>
        <row r="162">
          <cell r="B162" t="str">
            <v>CO2_E</v>
          </cell>
          <cell r="C162" t="str">
            <v>VAR_fout</v>
          </cell>
          <cell r="D162" t="str">
            <v>EWSTINC</v>
          </cell>
          <cell r="E162">
            <v>1689.2932255841899</v>
          </cell>
          <cell r="F162">
            <v>1895.88406669703</v>
          </cell>
          <cell r="G162">
            <v>1924.1933389226399</v>
          </cell>
          <cell r="H162">
            <v>1920.6432968439999</v>
          </cell>
          <cell r="I162">
            <v>1990.71061036794</v>
          </cell>
          <cell r="J162">
            <v>2085.5332680993201</v>
          </cell>
        </row>
        <row r="163">
          <cell r="B163" t="str">
            <v>CO2_E</v>
          </cell>
          <cell r="C163" t="str">
            <v>VAR_fout</v>
          </cell>
          <cell r="D163" t="str">
            <v>ENGA-GTCC</v>
          </cell>
          <cell r="I163">
            <v>1.2402481853698499</v>
          </cell>
          <cell r="J163">
            <v>0.216982741817771</v>
          </cell>
        </row>
        <row r="164">
          <cell r="B164" t="str">
            <v>CO2_E</v>
          </cell>
          <cell r="C164" t="str">
            <v>VAR_fout</v>
          </cell>
          <cell r="D164" t="str">
            <v>HPLOIL</v>
          </cell>
          <cell r="E164">
            <v>15.876618038940901</v>
          </cell>
          <cell r="F164">
            <v>173.918838151366</v>
          </cell>
          <cell r="G164">
            <v>4.1805730599028403E-2</v>
          </cell>
          <cell r="H164">
            <v>1.7322339935976001E-2</v>
          </cell>
          <cell r="I164">
            <v>9.3228024789783603E-3</v>
          </cell>
          <cell r="J164">
            <v>2.81296721614942E-3</v>
          </cell>
        </row>
        <row r="165">
          <cell r="B165" t="str">
            <v>CO2_E</v>
          </cell>
          <cell r="C165" t="str">
            <v>VAR_fout</v>
          </cell>
          <cell r="D165" t="str">
            <v>CHPGFC</v>
          </cell>
          <cell r="I165">
            <v>0.51185994771971699</v>
          </cell>
          <cell r="J165">
            <v>0.10811498458133</v>
          </cell>
        </row>
        <row r="166">
          <cell r="B166" t="str">
            <v>CO2_E</v>
          </cell>
          <cell r="C166" t="str">
            <v>VAR_fout</v>
          </cell>
          <cell r="D166" t="str">
            <v>EOIL-ENG</v>
          </cell>
          <cell r="E166">
            <v>8.5261013503076803</v>
          </cell>
          <cell r="F166">
            <v>7.0261263227334003E-2</v>
          </cell>
          <cell r="G166">
            <v>0.25824139175187399</v>
          </cell>
          <cell r="H166">
            <v>0.110462321424972</v>
          </cell>
          <cell r="I166">
            <v>0.22443691863389001</v>
          </cell>
          <cell r="J166">
            <v>7.3535586302093003E-2</v>
          </cell>
        </row>
        <row r="167">
          <cell r="B167" t="str">
            <v>CO2_E</v>
          </cell>
          <cell r="C167" t="str">
            <v>VAR_fout</v>
          </cell>
          <cell r="D167" t="str">
            <v>ENGA-GTOC</v>
          </cell>
          <cell r="F167">
            <v>8.6411463573034794E-2</v>
          </cell>
          <cell r="G167">
            <v>0.28806207697886799</v>
          </cell>
          <cell r="H167">
            <v>0.22190516439984201</v>
          </cell>
          <cell r="I167">
            <v>8.7482386882241396</v>
          </cell>
          <cell r="J167">
            <v>0.93386709590397499</v>
          </cell>
        </row>
        <row r="168">
          <cell r="B168" t="str">
            <v>CO2_E</v>
          </cell>
          <cell r="C168" t="str">
            <v>VAR_fout</v>
          </cell>
          <cell r="D168" t="str">
            <v>CHPOIL</v>
          </cell>
          <cell r="E168">
            <v>1.3774911812727499</v>
          </cell>
          <cell r="F168">
            <v>9.8918327358021696E-2</v>
          </cell>
          <cell r="G168">
            <v>0.270995964448765</v>
          </cell>
          <cell r="H168">
            <v>0.16867565855609301</v>
          </cell>
          <cell r="I168">
            <v>0.16781122743112101</v>
          </cell>
          <cell r="J168">
            <v>5.6269853264937698E-2</v>
          </cell>
        </row>
        <row r="169">
          <cell r="B169" t="str">
            <v>CO2_E</v>
          </cell>
          <cell r="C169" t="str">
            <v>VAR_comnet</v>
          </cell>
          <cell r="D169" t="str">
            <v>-</v>
          </cell>
          <cell r="E169">
            <v>4820.5224514009697</v>
          </cell>
          <cell r="F169">
            <v>4729.0466269962999</v>
          </cell>
          <cell r="G169">
            <v>4539.2078195551603</v>
          </cell>
          <cell r="H169">
            <v>4516.0508633335003</v>
          </cell>
          <cell r="I169">
            <v>4543.6290075308998</v>
          </cell>
          <cell r="J169">
            <v>4636.2326406480797</v>
          </cell>
        </row>
        <row r="170">
          <cell r="B170" t="str">
            <v>CO2_I</v>
          </cell>
          <cell r="C170" t="str">
            <v>VAR_fout</v>
          </cell>
          <cell r="D170" t="str">
            <v>ITOT-CHPNGA</v>
          </cell>
          <cell r="E170">
            <v>108.134449200753</v>
          </cell>
          <cell r="F170">
            <v>14.689096132654299</v>
          </cell>
          <cell r="G170">
            <v>9.3160867902714397</v>
          </cell>
          <cell r="H170">
            <v>49.656481292247499</v>
          </cell>
          <cell r="I170">
            <v>8.1799137749306308</v>
          </cell>
          <cell r="J170">
            <v>2.26166500829479</v>
          </cell>
        </row>
        <row r="171">
          <cell r="B171" t="str">
            <v>CO2_I</v>
          </cell>
          <cell r="C171" t="str">
            <v>VAR_fout</v>
          </cell>
          <cell r="D171" t="str">
            <v>ITOT-SWHNGABR</v>
          </cell>
          <cell r="E171">
            <v>2005.1532033982501</v>
          </cell>
          <cell r="F171">
            <v>1784.9567497073399</v>
          </cell>
          <cell r="G171">
            <v>1843.37111594659</v>
          </cell>
          <cell r="H171">
            <v>1732.80965567168</v>
          </cell>
          <cell r="I171">
            <v>884.784776566392</v>
          </cell>
          <cell r="J171">
            <v>460.197406774976</v>
          </cell>
        </row>
        <row r="172">
          <cell r="B172" t="str">
            <v>CO2_I</v>
          </cell>
          <cell r="C172" t="str">
            <v>VAR_fout</v>
          </cell>
          <cell r="D172" t="str">
            <v>ITOT-SWHLFOBR</v>
          </cell>
          <cell r="E172">
            <v>655.76814083611896</v>
          </cell>
          <cell r="F172">
            <v>589.06052010122698</v>
          </cell>
          <cell r="G172">
            <v>587.60840458753603</v>
          </cell>
          <cell r="H172">
            <v>479.272010472114</v>
          </cell>
          <cell r="I172">
            <v>245.97421478146799</v>
          </cell>
          <cell r="J172">
            <v>18.474239715585998</v>
          </cell>
        </row>
        <row r="173">
          <cell r="B173" t="str">
            <v>CO2_I</v>
          </cell>
          <cell r="C173" t="str">
            <v>VAR_fout</v>
          </cell>
          <cell r="D173" t="str">
            <v>ITOT-CHPNGACCS</v>
          </cell>
          <cell r="I173">
            <v>4.34826811384262E-3</v>
          </cell>
          <cell r="J173">
            <v>2.5048518009514798E-3</v>
          </cell>
        </row>
        <row r="174">
          <cell r="B174" t="str">
            <v>CO2_I</v>
          </cell>
          <cell r="C174" t="str">
            <v>VAR_fout</v>
          </cell>
          <cell r="D174" t="str">
            <v>ITOT-CHPGFC</v>
          </cell>
          <cell r="H174">
            <v>3.6810001063523098E-2</v>
          </cell>
          <cell r="I174">
            <v>0.192716174188931</v>
          </cell>
          <cell r="J174">
            <v>0.14211353049092301</v>
          </cell>
        </row>
        <row r="175">
          <cell r="B175" t="str">
            <v>CO2_I</v>
          </cell>
          <cell r="C175" t="str">
            <v>VAR_fout</v>
          </cell>
          <cell r="D175" t="str">
            <v>ITOT-SWHCOABR</v>
          </cell>
          <cell r="E175">
            <v>330.012108506907</v>
          </cell>
          <cell r="F175">
            <v>321.17922530672502</v>
          </cell>
          <cell r="G175">
            <v>299.01219566331798</v>
          </cell>
          <cell r="H175">
            <v>7.0751732194216502E-2</v>
          </cell>
          <cell r="I175">
            <v>3.0932403461826699E-2</v>
          </cell>
          <cell r="J175">
            <v>8.8737473570162893E-3</v>
          </cell>
        </row>
        <row r="176">
          <cell r="B176" t="str">
            <v>CO2_I</v>
          </cell>
          <cell r="C176" t="str">
            <v>VAR_fout</v>
          </cell>
          <cell r="D176" t="str">
            <v>ITOT-CHPOIL</v>
          </cell>
          <cell r="E176">
            <v>21.5670971256401</v>
          </cell>
          <cell r="F176">
            <v>51.207502556538103</v>
          </cell>
          <cell r="G176">
            <v>18.0505935688827</v>
          </cell>
          <cell r="H176">
            <v>47.866734288081503</v>
          </cell>
          <cell r="I176">
            <v>7.2002198638104398</v>
          </cell>
          <cell r="J176">
            <v>10.255599395380701</v>
          </cell>
        </row>
        <row r="177">
          <cell r="B177" t="str">
            <v>CO2_I</v>
          </cell>
          <cell r="C177" t="str">
            <v>VAR_fout</v>
          </cell>
          <cell r="D177" t="str">
            <v>ITOT-SWHWSTBR</v>
          </cell>
          <cell r="E177">
            <v>723.65824166471702</v>
          </cell>
          <cell r="F177">
            <v>749.837479386974</v>
          </cell>
          <cell r="G177">
            <v>520.44787875180805</v>
          </cell>
          <cell r="H177">
            <v>514.63429246692795</v>
          </cell>
          <cell r="I177">
            <v>506.25621316578503</v>
          </cell>
          <cell r="J177">
            <v>501.11826072362402</v>
          </cell>
        </row>
        <row r="178">
          <cell r="B178" t="str">
            <v>CO2_I</v>
          </cell>
          <cell r="C178" t="str">
            <v>VAR_fout</v>
          </cell>
          <cell r="D178" t="str">
            <v>ITOT-SWHNGAHP</v>
          </cell>
          <cell r="G178">
            <v>0.14116459815922</v>
          </cell>
          <cell r="H178">
            <v>0.16955424273082301</v>
          </cell>
          <cell r="I178">
            <v>3.42119722809649</v>
          </cell>
          <cell r="J178">
            <v>2.8673000013540699</v>
          </cell>
        </row>
        <row r="179">
          <cell r="B179" t="str">
            <v>CO2_I</v>
          </cell>
          <cell r="C179" t="str">
            <v>VAR_fout</v>
          </cell>
          <cell r="D179" t="str">
            <v>ITOT-CHPWST</v>
          </cell>
          <cell r="E179">
            <v>344.47002044295903</v>
          </cell>
          <cell r="F179">
            <v>344.645148088192</v>
          </cell>
          <cell r="G179">
            <v>504.19605855592999</v>
          </cell>
          <cell r="H179">
            <v>498.56418379993102</v>
          </cell>
          <cell r="I179">
            <v>490.447006920528</v>
          </cell>
          <cell r="J179">
            <v>485.46903450744003</v>
          </cell>
        </row>
        <row r="180">
          <cell r="B180" t="str">
            <v>CO2_I</v>
          </cell>
          <cell r="C180" t="str">
            <v>VAR_fout</v>
          </cell>
          <cell r="D180" t="str">
            <v>ITOT-SWHHFOBR</v>
          </cell>
          <cell r="E180">
            <v>210.210080556615</v>
          </cell>
          <cell r="F180">
            <v>1.7248784401742601E-2</v>
          </cell>
          <cell r="G180">
            <v>5.0603131661094002E-2</v>
          </cell>
          <cell r="H180">
            <v>3.3766645752018203E-2</v>
          </cell>
          <cell r="I180">
            <v>2.7276964375855701E-2</v>
          </cell>
        </row>
        <row r="181">
          <cell r="B181" t="str">
            <v>CO2_I</v>
          </cell>
          <cell r="C181" t="str">
            <v>VAR_comnet</v>
          </cell>
          <cell r="D181" t="str">
            <v>-</v>
          </cell>
          <cell r="E181">
            <v>4398.9733417319503</v>
          </cell>
          <cell r="F181">
            <v>3855.59297006405</v>
          </cell>
          <cell r="G181">
            <v>3782.1941015941602</v>
          </cell>
          <cell r="H181">
            <v>3323.1142406127301</v>
          </cell>
          <cell r="I181">
            <v>2146.51881611115</v>
          </cell>
          <cell r="J181">
            <v>1480.7969982563</v>
          </cell>
        </row>
        <row r="182">
          <cell r="B182"/>
          <cell r="C182"/>
          <cell r="D182"/>
        </row>
        <row r="183">
          <cell r="B183"/>
          <cell r="C183"/>
          <cell r="D183"/>
        </row>
        <row r="184">
          <cell r="B184"/>
          <cell r="C184"/>
          <cell r="D184"/>
        </row>
        <row r="185">
          <cell r="B185"/>
          <cell r="C185"/>
          <cell r="D185"/>
        </row>
        <row r="186">
          <cell r="B186"/>
          <cell r="C186"/>
          <cell r="D186"/>
        </row>
        <row r="187">
          <cell r="B187"/>
          <cell r="C187"/>
          <cell r="D187"/>
        </row>
        <row r="188">
          <cell r="B188"/>
          <cell r="C188"/>
          <cell r="D188"/>
        </row>
        <row r="189">
          <cell r="B189"/>
          <cell r="C189"/>
          <cell r="D189"/>
        </row>
        <row r="190">
          <cell r="B190"/>
          <cell r="C190"/>
          <cell r="D190"/>
        </row>
        <row r="191">
          <cell r="B191"/>
          <cell r="C191"/>
          <cell r="D191"/>
        </row>
        <row r="192">
          <cell r="B192"/>
          <cell r="C192"/>
          <cell r="D192"/>
        </row>
        <row r="193">
          <cell r="B193"/>
          <cell r="C193"/>
          <cell r="D193"/>
        </row>
        <row r="194">
          <cell r="B194"/>
          <cell r="C194"/>
          <cell r="D194"/>
        </row>
        <row r="195">
          <cell r="B195"/>
          <cell r="C195"/>
          <cell r="D195"/>
        </row>
        <row r="196">
          <cell r="B196"/>
          <cell r="C196"/>
          <cell r="D196"/>
        </row>
        <row r="197">
          <cell r="B197"/>
          <cell r="C197"/>
          <cell r="D197"/>
        </row>
        <row r="198">
          <cell r="B198"/>
          <cell r="C198"/>
          <cell r="D198"/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1.7844429194817301E-4</v>
          </cell>
          <cell r="I4">
            <v>3.7898982711799603E-2</v>
          </cell>
          <cell r="J4">
            <v>1.5649303742028901E-7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8.9998251559566903E-6</v>
          </cell>
          <cell r="J5">
            <v>1.2608541130338199E-7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1.49068779686938E-6</v>
          </cell>
          <cell r="I6">
            <v>3.7062844250168201E-6</v>
          </cell>
          <cell r="J6">
            <v>1.55290954992399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3.1605075433326798E-7</v>
          </cell>
          <cell r="I7">
            <v>3.9043272488855801E-7</v>
          </cell>
          <cell r="J7">
            <v>2.4919872535317998E-7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2.2872020968069001E-7</v>
          </cell>
          <cell r="F8">
            <v>1.19774361840766E-7</v>
          </cell>
          <cell r="G8">
            <v>1.7864428662409901E-7</v>
          </cell>
          <cell r="H8">
            <v>2.1203601468944099E-7</v>
          </cell>
          <cell r="I8">
            <v>4.9168817129312503E-7</v>
          </cell>
          <cell r="J8">
            <v>6.8657303953106102E-7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4.09632865650928E-4</v>
          </cell>
          <cell r="J9">
            <v>5.4644192833968797E-7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4.0959279090251903E-3</v>
          </cell>
          <cell r="F10">
            <v>2.93644068722361E-4</v>
          </cell>
          <cell r="G10">
            <v>2.8081667969012001E-7</v>
          </cell>
          <cell r="H10">
            <v>7.2850152071126106E-2</v>
          </cell>
          <cell r="I10">
            <v>1.4398698868017401E-2</v>
          </cell>
          <cell r="J10">
            <v>6.7085355976626501E-2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3.3379865545580402E-7</v>
          </cell>
          <cell r="F11">
            <v>3.9442370162800599E-7</v>
          </cell>
          <cell r="G11">
            <v>8.1916407509983495E-7</v>
          </cell>
          <cell r="H11">
            <v>2.6940579614693301E-4</v>
          </cell>
          <cell r="I11">
            <v>4.9872085200036199E-2</v>
          </cell>
          <cell r="J11">
            <v>5.4154954743295398E-7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1.43336766114508E-2</v>
          </cell>
          <cell r="F12">
            <v>8.5824788298368607E-2</v>
          </cell>
          <cell r="G12">
            <v>1.6625453674197401E-7</v>
          </cell>
          <cell r="H12">
            <v>1.8025080427472801E-7</v>
          </cell>
          <cell r="I12">
            <v>4.44439699316782E-2</v>
          </cell>
          <cell r="J12">
            <v>0.154120986245429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3.7614268173991799E-2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3.2751427331977498E-8</v>
          </cell>
          <cell r="F14">
            <v>3.4447021222411298E-8</v>
          </cell>
          <cell r="G14">
            <v>2.0510108003706701E-7</v>
          </cell>
          <cell r="H14">
            <v>4.77115251122014E-8</v>
          </cell>
          <cell r="I14">
            <v>6.0083608076277995E-8</v>
          </cell>
          <cell r="J14">
            <v>1.00973425713622E-7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2.7852790105790001E-6</v>
          </cell>
          <cell r="I15">
            <v>1.09451660692762E-2</v>
          </cell>
          <cell r="J15">
            <v>0.109804222474225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3.1522227327814802E-7</v>
          </cell>
          <cell r="I16">
            <v>5.0604874935441004E-7</v>
          </cell>
          <cell r="J16">
            <v>3.2875861558039602E-7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1.4120080792542599E-7</v>
          </cell>
          <cell r="I17">
            <v>3.0411846769374501E-2</v>
          </cell>
          <cell r="J17">
            <v>0.28577278353616398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6.50278669428246E-8</v>
          </cell>
          <cell r="F18">
            <v>6.1065353919290795E-8</v>
          </cell>
          <cell r="G18">
            <v>7.1289430468253996E-8</v>
          </cell>
          <cell r="H18">
            <v>8.3914678223777294E-8</v>
          </cell>
          <cell r="I18">
            <v>1.6926902346339199E-7</v>
          </cell>
          <cell r="J18">
            <v>2.8579488201742002E-7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4.9417935019844997E-2</v>
          </cell>
          <cell r="F19">
            <v>0.122683641352757</v>
          </cell>
          <cell r="G19">
            <v>1.03782684457243E-6</v>
          </cell>
          <cell r="H19">
            <v>1.8803912732261799E-2</v>
          </cell>
          <cell r="I19">
            <v>0.17968444494482599</v>
          </cell>
          <cell r="J19">
            <v>0.16499867204225999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1.16146838588279E-7</v>
          </cell>
          <cell r="F20">
            <v>5.0212860725440901E-8</v>
          </cell>
          <cell r="G20">
            <v>6.18404382749521E-8</v>
          </cell>
          <cell r="H20">
            <v>6.3904201557145902E-8</v>
          </cell>
          <cell r="I20">
            <v>2.01346575981521E-7</v>
          </cell>
          <cell r="J20">
            <v>0.27754451818130998</v>
          </cell>
        </row>
        <row r="21">
          <cell r="A21" t="str">
            <v>-</v>
          </cell>
          <cell r="B21" t="str">
            <v>VAR_ncap</v>
          </cell>
          <cell r="C21" t="str">
            <v>SUP_WODBIO</v>
          </cell>
          <cell r="E21">
            <v>3.7118756939332398E-7</v>
          </cell>
          <cell r="F21">
            <v>1.22723251616021E-5</v>
          </cell>
          <cell r="G21">
            <v>7.6527459637188396E-7</v>
          </cell>
          <cell r="H21">
            <v>2.11418114086143E-7</v>
          </cell>
          <cell r="I21">
            <v>3.7258868757690802E-6</v>
          </cell>
          <cell r="J21">
            <v>4.71074711850913E-6</v>
          </cell>
        </row>
        <row r="22">
          <cell r="A22" t="str">
            <v>-</v>
          </cell>
          <cell r="B22" t="str">
            <v>VAR_ncap</v>
          </cell>
          <cell r="C22" t="str">
            <v>SUP_ELCH2_SOEC</v>
          </cell>
          <cell r="I22">
            <v>1.37775309500972E-4</v>
          </cell>
          <cell r="J22">
            <v>8.4588776634462304E-5</v>
          </cell>
        </row>
        <row r="23">
          <cell r="A23" t="str">
            <v>-</v>
          </cell>
          <cell r="B23" t="str">
            <v>VAR_ncap</v>
          </cell>
          <cell r="C23" t="str">
            <v>SUP_ELCH2</v>
          </cell>
          <cell r="E23">
            <v>2.3735113297001701E-4</v>
          </cell>
          <cell r="F23">
            <v>6.3616742226837997E-5</v>
          </cell>
          <cell r="G23">
            <v>8.3499062114895505E-3</v>
          </cell>
          <cell r="H23">
            <v>8.0096126559868006E-3</v>
          </cell>
          <cell r="I23">
            <v>6.5209698288811097E-2</v>
          </cell>
          <cell r="J23">
            <v>0.75634012281054297</v>
          </cell>
        </row>
        <row r="24">
          <cell r="A24" t="str">
            <v>-</v>
          </cell>
          <cell r="B24" t="str">
            <v>VAR_ncap</v>
          </cell>
          <cell r="C24" t="str">
            <v>CT_CWODBDS</v>
          </cell>
          <cell r="E24">
            <v>9.7931352710976505E-8</v>
          </cell>
          <cell r="F24">
            <v>8.25653260432987E-8</v>
          </cell>
          <cell r="G24">
            <v>1.3146591395908601E-7</v>
          </cell>
          <cell r="H24">
            <v>1.1959348778608E-7</v>
          </cell>
          <cell r="I24">
            <v>1.7194847741304899E-6</v>
          </cell>
          <cell r="J24">
            <v>2.5202693361108901E-7</v>
          </cell>
        </row>
        <row r="25">
          <cell r="A25" t="str">
            <v>-</v>
          </cell>
          <cell r="B25" t="str">
            <v>VAR_ncap</v>
          </cell>
          <cell r="C25" t="str">
            <v>CT_CWODPLT</v>
          </cell>
          <cell r="E25">
            <v>0.15249468448911499</v>
          </cell>
          <cell r="F25">
            <v>5.5204319749155101E-2</v>
          </cell>
          <cell r="G25">
            <v>4.8758511991786503E-7</v>
          </cell>
          <cell r="H25">
            <v>6.2940728759557896E-7</v>
          </cell>
          <cell r="I25">
            <v>0.17039671364326001</v>
          </cell>
          <cell r="J25">
            <v>0.15343482825048299</v>
          </cell>
        </row>
        <row r="26">
          <cell r="A26" t="str">
            <v>-</v>
          </cell>
          <cell r="B26" t="str">
            <v>VAR_ncap</v>
          </cell>
          <cell r="C26" t="str">
            <v>D-DH2</v>
          </cell>
          <cell r="H26">
            <v>1.50269528211797E-5</v>
          </cell>
          <cell r="I26">
            <v>1.0817133783782001E-2</v>
          </cell>
          <cell r="J26">
            <v>0.10869790031749001</v>
          </cell>
        </row>
        <row r="27">
          <cell r="A27" t="str">
            <v>-</v>
          </cell>
          <cell r="B27" t="str">
            <v>VAR_ncap</v>
          </cell>
          <cell r="C27" t="str">
            <v>CT_CWODETH</v>
          </cell>
          <cell r="E27">
            <v>4.3081631859702698E-3</v>
          </cell>
          <cell r="F27">
            <v>1.1830263614378701E-7</v>
          </cell>
          <cell r="G27">
            <v>1.9317420526218601E-7</v>
          </cell>
          <cell r="H27">
            <v>9.9042480650119097E-8</v>
          </cell>
          <cell r="I27">
            <v>8.7634145875624501E-7</v>
          </cell>
          <cell r="J27">
            <v>4.8570803998049398E-6</v>
          </cell>
        </row>
        <row r="28">
          <cell r="A28" t="str">
            <v>-</v>
          </cell>
          <cell r="B28" t="str">
            <v>VAR_ncap</v>
          </cell>
          <cell r="C28" t="str">
            <v>D-INGA</v>
          </cell>
          <cell r="E28">
            <v>1.8719284606590401E-7</v>
          </cell>
          <cell r="F28">
            <v>1.5036075920569801E-7</v>
          </cell>
          <cell r="G28">
            <v>1.9443756542539699E-7</v>
          </cell>
          <cell r="H28">
            <v>2.4632426439773899E-7</v>
          </cell>
          <cell r="I28">
            <v>5.9773593077309704E-7</v>
          </cell>
          <cell r="J28">
            <v>1.77253446902829E-6</v>
          </cell>
        </row>
        <row r="29">
          <cell r="A29" t="str">
            <v>-</v>
          </cell>
          <cell r="B29" t="str">
            <v>VAR_ncap</v>
          </cell>
          <cell r="C29" t="str">
            <v>SUP_H2DSL</v>
          </cell>
          <cell r="H29">
            <v>2.9392689105886099E-7</v>
          </cell>
          <cell r="I29">
            <v>5.8235732273485699E-7</v>
          </cell>
          <cell r="J29">
            <v>3.6442466137519499E-7</v>
          </cell>
        </row>
        <row r="30">
          <cell r="A30" t="str">
            <v>-</v>
          </cell>
          <cell r="B30" t="str">
            <v>VAR_cap</v>
          </cell>
          <cell r="C30" t="str">
            <v>SUP_NGAH2</v>
          </cell>
          <cell r="H30">
            <v>1.7844429194817301E-4</v>
          </cell>
          <cell r="I30">
            <v>9.3539498620528461E-2</v>
          </cell>
          <cell r="J30">
            <v>1.457025489779995E-4</v>
          </cell>
        </row>
        <row r="31">
          <cell r="A31" t="str">
            <v>-</v>
          </cell>
          <cell r="B31" t="str">
            <v>VAR_cap</v>
          </cell>
          <cell r="C31" t="str">
            <v>SUP_WSTHTGBIO</v>
          </cell>
          <cell r="I31">
            <v>8.9998251559566903E-6</v>
          </cell>
          <cell r="J31">
            <v>9.098847230839106E-6</v>
          </cell>
        </row>
        <row r="32">
          <cell r="A32" t="str">
            <v>-</v>
          </cell>
          <cell r="B32" t="str">
            <v>VAR_cap</v>
          </cell>
          <cell r="C32" t="str">
            <v>STG-H2</v>
          </cell>
          <cell r="H32">
            <v>1.49068779686938E-6</v>
          </cell>
          <cell r="I32">
            <v>6.9753273460191453E-6</v>
          </cell>
          <cell r="J32">
            <v>1.5529149626757262</v>
          </cell>
        </row>
        <row r="33">
          <cell r="A33" t="str">
            <v>-</v>
          </cell>
          <cell r="B33" t="str">
            <v>VAR_cap</v>
          </cell>
          <cell r="C33" t="str">
            <v>SUP_H2NGA</v>
          </cell>
          <cell r="H33">
            <v>3.1605075433326798E-7</v>
          </cell>
          <cell r="I33">
            <v>6.9270973421300507E-7</v>
          </cell>
          <cell r="J33">
            <v>5.8361616193670396E-7</v>
          </cell>
        </row>
        <row r="34">
          <cell r="A34" t="str">
            <v>-</v>
          </cell>
          <cell r="B34" t="str">
            <v>VAR_cap</v>
          </cell>
          <cell r="C34" t="str">
            <v>D-ENGA</v>
          </cell>
          <cell r="E34">
            <v>1.0275122232611897</v>
          </cell>
          <cell r="F34">
            <v>1.0275123430355515</v>
          </cell>
          <cell r="G34">
            <v>1.0275125216798382</v>
          </cell>
          <cell r="H34">
            <v>1.0275127337158529</v>
          </cell>
          <cell r="I34">
            <v>1.0275135464507528</v>
          </cell>
          <cell r="J34">
            <v>0.72467891979757226</v>
          </cell>
        </row>
        <row r="35">
          <cell r="A35" t="str">
            <v>-</v>
          </cell>
          <cell r="B35" t="str">
            <v>VAR_cap</v>
          </cell>
          <cell r="C35" t="str">
            <v>D-CHEAT</v>
          </cell>
          <cell r="I35">
            <v>4.09632865650928E-4</v>
          </cell>
          <cell r="J35">
            <v>4.1017930757926701E-4</v>
          </cell>
        </row>
        <row r="36">
          <cell r="A36" t="str">
            <v>-</v>
          </cell>
          <cell r="B36" t="str">
            <v>VAR_cap</v>
          </cell>
          <cell r="C36" t="str">
            <v>SUP_WSTBIO</v>
          </cell>
          <cell r="E36">
            <v>0.21266628957608558</v>
          </cell>
          <cell r="F36">
            <v>0.21295970452938212</v>
          </cell>
          <cell r="G36">
            <v>0.21295716226409073</v>
          </cell>
          <cell r="H36">
            <v>0.21222392322088041</v>
          </cell>
          <cell r="I36">
            <v>0.20568679270998599</v>
          </cell>
          <cell r="J36">
            <v>0.19354298581583462</v>
          </cell>
        </row>
        <row r="37">
          <cell r="A37" t="str">
            <v>-</v>
          </cell>
          <cell r="B37" t="str">
            <v>VAR_cap</v>
          </cell>
          <cell r="C37" t="str">
            <v>D-CNGA</v>
          </cell>
          <cell r="E37">
            <v>3.3379865545580402E-7</v>
          </cell>
          <cell r="F37">
            <v>7.2822235708380996E-7</v>
          </cell>
          <cell r="G37">
            <v>1.54738643218364E-6</v>
          </cell>
          <cell r="H37">
            <v>2.7095318257911599E-4</v>
          </cell>
          <cell r="I37">
            <v>0.12310669899582299</v>
          </cell>
          <cell r="J37">
            <v>0.12310724054537101</v>
          </cell>
        </row>
        <row r="38">
          <cell r="A38" t="str">
            <v>-</v>
          </cell>
          <cell r="B38" t="str">
            <v>VAR_cap</v>
          </cell>
          <cell r="C38" t="str">
            <v>SUP_BIONGA</v>
          </cell>
          <cell r="E38">
            <v>4.2351992722888206E-2</v>
          </cell>
          <cell r="F38">
            <v>0.12817674367851956</v>
          </cell>
          <cell r="G38">
            <v>0.12817264838129902</v>
          </cell>
          <cell r="H38">
            <v>9.4600661258401997E-2</v>
          </cell>
          <cell r="I38">
            <v>9.201460473697351E-2</v>
          </cell>
          <cell r="J38">
            <v>0.19856515208444292</v>
          </cell>
        </row>
        <row r="39">
          <cell r="A39" t="str">
            <v>-</v>
          </cell>
          <cell r="B39" t="str">
            <v>VAR_cap</v>
          </cell>
          <cell r="C39" t="str">
            <v>SUP_WODH2</v>
          </cell>
          <cell r="J39">
            <v>3.7614268173991799E-2</v>
          </cell>
        </row>
        <row r="40">
          <cell r="A40" t="str">
            <v>-</v>
          </cell>
          <cell r="B40" t="str">
            <v>VAR_cap</v>
          </cell>
          <cell r="C40" t="str">
            <v>D-TNGA</v>
          </cell>
          <cell r="E40">
            <v>0.95961772583307137</v>
          </cell>
          <cell r="F40">
            <v>0.9596177602800926</v>
          </cell>
          <cell r="G40">
            <v>0.95961796538117261</v>
          </cell>
          <cell r="H40">
            <v>0.95961801309269767</v>
          </cell>
          <cell r="I40">
            <v>0.95961813661915885</v>
          </cell>
          <cell r="J40">
            <v>0.48125389394652862</v>
          </cell>
        </row>
        <row r="41">
          <cell r="A41" t="str">
            <v>-</v>
          </cell>
          <cell r="B41" t="str">
            <v>VAR_cap</v>
          </cell>
          <cell r="C41" t="str">
            <v>SUP_ELCH2_D</v>
          </cell>
          <cell r="H41">
            <v>2.7852790105790001E-6</v>
          </cell>
          <cell r="I41">
            <v>1.0953621459289501E-2</v>
          </cell>
          <cell r="J41">
            <v>0.120754631102618</v>
          </cell>
        </row>
        <row r="42">
          <cell r="A42" t="str">
            <v>-</v>
          </cell>
          <cell r="B42" t="str">
            <v>VAR_cap</v>
          </cell>
          <cell r="C42" t="str">
            <v>SUP_H2GSL</v>
          </cell>
          <cell r="H42">
            <v>3.1522227327814802E-7</v>
          </cell>
          <cell r="I42">
            <v>9.0012051316228807E-7</v>
          </cell>
          <cell r="J42">
            <v>7.0757225517125508E-7</v>
          </cell>
        </row>
        <row r="43">
          <cell r="A43" t="str">
            <v>-</v>
          </cell>
          <cell r="B43" t="str">
            <v>VAR_cap</v>
          </cell>
          <cell r="C43" t="str">
            <v>ESOL-PV_E</v>
          </cell>
          <cell r="H43">
            <v>1.4120080792542599E-7</v>
          </cell>
          <cell r="I43">
            <v>3.04190557086838E-2</v>
          </cell>
          <cell r="J43">
            <v>0.31619183924484801</v>
          </cell>
        </row>
        <row r="44">
          <cell r="A44" t="str">
            <v>-</v>
          </cell>
          <cell r="B44" t="str">
            <v>VAR_cap</v>
          </cell>
          <cell r="C44" t="str">
            <v>D-SNGA</v>
          </cell>
          <cell r="E44">
            <v>2.2350522666530073</v>
          </cell>
          <cell r="F44">
            <v>2.2350523277183609</v>
          </cell>
          <cell r="G44">
            <v>2.2350523990077913</v>
          </cell>
          <cell r="H44">
            <v>2.2350524829224696</v>
          </cell>
          <cell r="I44">
            <v>2.2350527804463534</v>
          </cell>
          <cell r="J44">
            <v>1.1208913671049554</v>
          </cell>
        </row>
        <row r="45">
          <cell r="A45" t="str">
            <v>-</v>
          </cell>
          <cell r="B45" t="str">
            <v>VAR_cap</v>
          </cell>
          <cell r="C45" t="str">
            <v>SUP_MNRBIO</v>
          </cell>
          <cell r="E45">
            <v>4.9417935019844997E-2</v>
          </cell>
          <cell r="F45">
            <v>0.1721014674010751</v>
          </cell>
          <cell r="G45">
            <v>0.1721020782372408</v>
          </cell>
          <cell r="H45">
            <v>0.19090542647369943</v>
          </cell>
          <cell r="I45">
            <v>0.27949073248673717</v>
          </cell>
          <cell r="J45">
            <v>0.34965059023924761</v>
          </cell>
        </row>
        <row r="46">
          <cell r="A46" t="str">
            <v>-</v>
          </cell>
          <cell r="B46" t="str">
            <v>VAR_cap</v>
          </cell>
          <cell r="C46" t="str">
            <v>D-RNGA</v>
          </cell>
          <cell r="E46">
            <v>3.0972401235427585</v>
          </cell>
          <cell r="F46">
            <v>3.0972401737556194</v>
          </cell>
          <cell r="G46">
            <v>3.0972402355960575</v>
          </cell>
          <cell r="H46">
            <v>3.097240299500259</v>
          </cell>
          <cell r="I46">
            <v>3.0972405978517306</v>
          </cell>
          <cell r="J46">
            <v>1.83082735667334</v>
          </cell>
        </row>
        <row r="47">
          <cell r="A47" t="str">
            <v>-</v>
          </cell>
          <cell r="B47" t="str">
            <v>VAR_cap</v>
          </cell>
          <cell r="C47" t="str">
            <v>SUP_WODBIO</v>
          </cell>
          <cell r="E47">
            <v>3.7118756939332398E-7</v>
          </cell>
          <cell r="F47">
            <v>1.2611432402839964E-5</v>
          </cell>
          <cell r="G47">
            <v>1.3328616940969415E-5</v>
          </cell>
          <cell r="H47">
            <v>1.3421722102196367E-5</v>
          </cell>
          <cell r="I47">
            <v>1.7217083783094799E-5</v>
          </cell>
          <cell r="J47">
            <v>1.3573317726906076E-5</v>
          </cell>
        </row>
        <row r="48">
          <cell r="A48" t="str">
            <v>-</v>
          </cell>
          <cell r="B48" t="str">
            <v>VAR_cap</v>
          </cell>
          <cell r="C48" t="str">
            <v>SUP_ELCH2_SOEC</v>
          </cell>
          <cell r="I48">
            <v>1.37775309500972E-4</v>
          </cell>
          <cell r="J48">
            <v>1.317127797812202E-4</v>
          </cell>
        </row>
        <row r="49">
          <cell r="A49" t="str">
            <v>-</v>
          </cell>
          <cell r="B49" t="str">
            <v>VAR_cap</v>
          </cell>
          <cell r="C49" t="str">
            <v>SUP_ELCH2</v>
          </cell>
          <cell r="E49">
            <v>2.3735113297001701E-4</v>
          </cell>
          <cell r="F49">
            <v>3.0086005290316824E-4</v>
          </cell>
          <cell r="G49">
            <v>8.6505744871753741E-3</v>
          </cell>
          <cell r="H49">
            <v>1.6659890962847965E-2</v>
          </cell>
          <cell r="I49">
            <v>9.8751898562213281E-2</v>
          </cell>
          <cell r="J49">
            <v>0.83723325455335507</v>
          </cell>
        </row>
        <row r="50">
          <cell r="A50" t="str">
            <v>-</v>
          </cell>
          <cell r="B50" t="str">
            <v>VAR_cap</v>
          </cell>
          <cell r="C50" t="str">
            <v>CT_CWODBDS</v>
          </cell>
          <cell r="E50">
            <v>3.2458748963395109E-2</v>
          </cell>
          <cell r="F50">
            <v>3.2456054028960055E-2</v>
          </cell>
          <cell r="G50">
            <v>3.2455962537740114E-2</v>
          </cell>
          <cell r="H50">
            <v>2.7997368399292066E-5</v>
          </cell>
          <cell r="I50">
            <v>1.5264494660999815E-5</v>
          </cell>
          <cell r="J50">
            <v>1.2542925294583958E-5</v>
          </cell>
        </row>
        <row r="51">
          <cell r="A51" t="str">
            <v>-</v>
          </cell>
          <cell r="B51" t="str">
            <v>VAR_cap</v>
          </cell>
          <cell r="C51" t="str">
            <v>CT_CWODPLT</v>
          </cell>
          <cell r="E51">
            <v>0.35479380511397385</v>
          </cell>
          <cell r="F51">
            <v>0.40999797078310385</v>
          </cell>
          <cell r="G51">
            <v>0.207699228376308</v>
          </cell>
          <cell r="H51">
            <v>0.20769530498445796</v>
          </cell>
          <cell r="I51">
            <v>0.25394941805443744</v>
          </cell>
          <cell r="J51">
            <v>0.32508287482367532</v>
          </cell>
        </row>
        <row r="52">
          <cell r="A52" t="str">
            <v>-</v>
          </cell>
          <cell r="B52" t="str">
            <v>VAR_cap</v>
          </cell>
          <cell r="C52" t="str">
            <v>D-DH2</v>
          </cell>
          <cell r="H52">
            <v>1.50269528211797E-5</v>
          </cell>
          <cell r="I52">
            <v>1.0852583702177799E-2</v>
          </cell>
          <cell r="J52">
            <v>0.119550484019668</v>
          </cell>
        </row>
        <row r="53">
          <cell r="A53" t="str">
            <v>-</v>
          </cell>
          <cell r="B53" t="str">
            <v>VAR_cap</v>
          </cell>
          <cell r="C53" t="str">
            <v>CT_CWODETH</v>
          </cell>
          <cell r="E53">
            <v>6.3454860716877278E-3</v>
          </cell>
          <cell r="F53">
            <v>6.345443842972919E-3</v>
          </cell>
          <cell r="G53">
            <v>6.3455660463540694E-3</v>
          </cell>
          <cell r="H53">
            <v>4.435890499526053E-3</v>
          </cell>
          <cell r="I53">
            <v>9.0022799629501001E-6</v>
          </cell>
          <cell r="J53">
            <v>5.8175724560127276E-6</v>
          </cell>
        </row>
        <row r="54">
          <cell r="A54" t="str">
            <v>-</v>
          </cell>
          <cell r="B54" t="str">
            <v>VAR_cap</v>
          </cell>
          <cell r="C54" t="str">
            <v>D-INGA</v>
          </cell>
          <cell r="E54">
            <v>1.9844835574589461</v>
          </cell>
          <cell r="F54">
            <v>1.9844837078197053</v>
          </cell>
          <cell r="G54">
            <v>1.9844839022572707</v>
          </cell>
          <cell r="H54">
            <v>1.984484148581535</v>
          </cell>
          <cell r="I54">
            <v>1.9844851562579369</v>
          </cell>
          <cell r="J54">
            <v>1.0954629959722257</v>
          </cell>
        </row>
        <row r="55">
          <cell r="A55" t="str">
            <v>-</v>
          </cell>
          <cell r="B55" t="str">
            <v>VAR_cap</v>
          </cell>
          <cell r="C55" t="str">
            <v>SUP_H2DSL</v>
          </cell>
          <cell r="H55">
            <v>2.9392689105886099E-7</v>
          </cell>
          <cell r="I55">
            <v>9.6423609112127497E-7</v>
          </cell>
          <cell r="J55">
            <v>7.755931557770499E-7</v>
          </cell>
        </row>
        <row r="56">
          <cell r="A56" t="str">
            <v>ELC35</v>
          </cell>
          <cell r="B56" t="str">
            <v>VAR_fout</v>
          </cell>
          <cell r="C56" t="str">
            <v>SUP_WSTBIO</v>
          </cell>
          <cell r="E56">
            <v>0.11258783202760658</v>
          </cell>
          <cell r="F56">
            <v>0.11274332089366679</v>
          </cell>
          <cell r="G56">
            <v>0.10855956372149003</v>
          </cell>
          <cell r="H56">
            <v>0.11235381902909114</v>
          </cell>
          <cell r="I56">
            <v>0.10889305323468226</v>
          </cell>
          <cell r="J56">
            <v>0.10246398735273977</v>
          </cell>
        </row>
        <row r="57">
          <cell r="A57" t="str">
            <v>ELC35</v>
          </cell>
          <cell r="B57" t="str">
            <v>VAR_fout</v>
          </cell>
          <cell r="C57" t="str">
            <v>SUP_WODBIO</v>
          </cell>
          <cell r="F57">
            <v>2.7236681808974721E-7</v>
          </cell>
          <cell r="G57">
            <v>3.2663362069849323E-6</v>
          </cell>
          <cell r="H57">
            <v>4.0482029516028612E-6</v>
          </cell>
          <cell r="I57">
            <v>8.6938024110016772E-6</v>
          </cell>
          <cell r="J57">
            <v>9.2449587076480452E-6</v>
          </cell>
        </row>
        <row r="58">
          <cell r="A58" t="str">
            <v>ELC35</v>
          </cell>
          <cell r="B58" t="str">
            <v>VAR_fin</v>
          </cell>
          <cell r="C58" t="str">
            <v>D-CELC</v>
          </cell>
          <cell r="E58">
            <v>0.31267614070688832</v>
          </cell>
          <cell r="F58">
            <v>6.6749813050497285E-3</v>
          </cell>
          <cell r="G58">
            <v>0.64990788514493103</v>
          </cell>
          <cell r="H58">
            <v>0.80668775442000806</v>
          </cell>
          <cell r="I58">
            <v>1.1317936983420889</v>
          </cell>
          <cell r="J58">
            <v>7.9751009273513773</v>
          </cell>
        </row>
        <row r="59">
          <cell r="A59" t="str">
            <v>SCH2S</v>
          </cell>
          <cell r="B59" t="str">
            <v>VAR_fin</v>
          </cell>
          <cell r="C59" t="str">
            <v>SUP_NGAH2</v>
          </cell>
          <cell r="H59">
            <v>3.4054124039632691E-3</v>
          </cell>
          <cell r="I59">
            <v>2.213082140356649</v>
          </cell>
          <cell r="J59">
            <v>1.2346344484163955E-3</v>
          </cell>
        </row>
        <row r="60">
          <cell r="A60" t="str">
            <v>CWST</v>
          </cell>
          <cell r="B60" t="str">
            <v>VAR_fout</v>
          </cell>
          <cell r="C60" t="str">
            <v>D-CWST</v>
          </cell>
          <cell r="E60">
            <v>9.6793367591733741</v>
          </cell>
          <cell r="F60">
            <v>9.6927043591155311</v>
          </cell>
          <cell r="G60">
            <v>9.3330207782275139</v>
          </cell>
          <cell r="H60">
            <v>9.659218327386716</v>
          </cell>
          <cell r="I60">
            <v>9.3619483384656057</v>
          </cell>
          <cell r="J60">
            <v>8.8092761041991618</v>
          </cell>
        </row>
        <row r="61">
          <cell r="A61" t="str">
            <v>CWST</v>
          </cell>
          <cell r="B61" t="str">
            <v>VAR_fin</v>
          </cell>
          <cell r="C61" t="str">
            <v>SUP_WSTHTGBIO</v>
          </cell>
          <cell r="I61">
            <v>2.6744570655909606E-4</v>
          </cell>
          <cell r="J61">
            <v>3.104520318686714E-4</v>
          </cell>
        </row>
        <row r="62">
          <cell r="A62" t="str">
            <v>CWST</v>
          </cell>
          <cell r="B62" t="str">
            <v>VAR_fin</v>
          </cell>
          <cell r="C62" t="str">
            <v>SUP_WSTBIO</v>
          </cell>
          <cell r="E62">
            <v>9.6793367591733741</v>
          </cell>
          <cell r="F62">
            <v>9.6927043591155311</v>
          </cell>
          <cell r="G62">
            <v>9.3330207782275139</v>
          </cell>
          <cell r="H62">
            <v>9.659218327386716</v>
          </cell>
          <cell r="I62">
            <v>9.3616913480902593</v>
          </cell>
          <cell r="J62">
            <v>8.8089753698398336</v>
          </cell>
        </row>
        <row r="63">
          <cell r="A63" t="str">
            <v>NGA</v>
          </cell>
          <cell r="B63" t="str">
            <v>VAR_fout</v>
          </cell>
          <cell r="C63" t="str">
            <v>D-LNGA</v>
          </cell>
          <cell r="H63">
            <v>3.6980706436653298E-4</v>
          </cell>
          <cell r="I63">
            <v>5.2556895053420974E-4</v>
          </cell>
          <cell r="J63">
            <v>2.7270316881974145E-4</v>
          </cell>
        </row>
        <row r="64">
          <cell r="A64" t="str">
            <v>NGA</v>
          </cell>
          <cell r="B64" t="str">
            <v>VAR_fin</v>
          </cell>
          <cell r="C64" t="str">
            <v>D-ENGA</v>
          </cell>
          <cell r="E64">
            <v>5.5105020420940107</v>
          </cell>
          <cell r="F64">
            <v>1.4967794120540756</v>
          </cell>
          <cell r="G64">
            <v>1.7282761200007709E-2</v>
          </cell>
          <cell r="H64">
            <v>0.67773173816259802</v>
          </cell>
          <cell r="I64">
            <v>0.17810789927439566</v>
          </cell>
          <cell r="J64">
            <v>4.0312970054672591E-3</v>
          </cell>
        </row>
        <row r="65">
          <cell r="A65" t="str">
            <v>NGA</v>
          </cell>
          <cell r="B65" t="str">
            <v>VAR_fin</v>
          </cell>
          <cell r="C65" t="str">
            <v>D-CNGA</v>
          </cell>
          <cell r="H65">
            <v>3.8258070655519654E-3</v>
          </cell>
          <cell r="I65">
            <v>2.9200518541966916</v>
          </cell>
          <cell r="J65">
            <v>4.7344227205012898E-4</v>
          </cell>
        </row>
        <row r="66">
          <cell r="A66" t="str">
            <v>NGA</v>
          </cell>
          <cell r="B66" t="str">
            <v>VAR_fin</v>
          </cell>
          <cell r="C66" t="str">
            <v>D-TNGA</v>
          </cell>
          <cell r="E66">
            <v>0.24804752433194449</v>
          </cell>
          <cell r="F66">
            <v>0.10670979465649562</v>
          </cell>
          <cell r="G66">
            <v>4.8628868091010187</v>
          </cell>
          <cell r="H66">
            <v>9.1024832858020446</v>
          </cell>
          <cell r="I66">
            <v>1.5908492756029316E-3</v>
          </cell>
          <cell r="J66">
            <v>1.4730255860854976E-3</v>
          </cell>
        </row>
        <row r="67">
          <cell r="A67" t="str">
            <v>NGA</v>
          </cell>
          <cell r="B67" t="str">
            <v>VAR_fin</v>
          </cell>
          <cell r="C67" t="str">
            <v>D-SNGA</v>
          </cell>
          <cell r="E67">
            <v>26.984738701940028</v>
          </cell>
          <cell r="F67">
            <v>26.825524519136362</v>
          </cell>
          <cell r="G67">
            <v>24.040357178826206</v>
          </cell>
          <cell r="H67">
            <v>22.793898179364451</v>
          </cell>
          <cell r="I67">
            <v>16.888268198974551</v>
          </cell>
          <cell r="J67">
            <v>11.969318760506235</v>
          </cell>
        </row>
        <row r="68">
          <cell r="A68" t="str">
            <v>NGA</v>
          </cell>
          <cell r="B68" t="str">
            <v>VAR_fin</v>
          </cell>
          <cell r="C68" t="str">
            <v>D-RNGA</v>
          </cell>
          <cell r="E68">
            <v>46.99783189957958</v>
          </cell>
          <cell r="F68">
            <v>46.28040668705566</v>
          </cell>
          <cell r="G68">
            <v>47.225505206197518</v>
          </cell>
          <cell r="H68">
            <v>44.82301143073159</v>
          </cell>
          <cell r="I68">
            <v>44.988875238293936</v>
          </cell>
          <cell r="J68">
            <v>34.529626362352396</v>
          </cell>
        </row>
        <row r="69">
          <cell r="A69" t="str">
            <v>NGA</v>
          </cell>
          <cell r="B69" t="str">
            <v>VAR_fin</v>
          </cell>
          <cell r="C69" t="str">
            <v>D-INGA</v>
          </cell>
          <cell r="E69">
            <v>37.26047908326408</v>
          </cell>
          <cell r="F69">
            <v>32.010521354116626</v>
          </cell>
          <cell r="G69">
            <v>32.155344761115892</v>
          </cell>
          <cell r="H69">
            <v>29.213298602317437</v>
          </cell>
          <cell r="I69">
            <v>13.066489213107822</v>
          </cell>
          <cell r="J69">
            <v>2.1610905380713699</v>
          </cell>
        </row>
        <row r="70">
          <cell r="A70" t="str">
            <v>CO2</v>
          </cell>
          <cell r="B70" t="str">
            <v>VAR_fout</v>
          </cell>
          <cell r="C70" t="str">
            <v>D-ENGA</v>
          </cell>
          <cell r="E70">
            <v>310.79231517410199</v>
          </cell>
          <cell r="F70">
            <v>84.418358839849901</v>
          </cell>
          <cell r="G70">
            <v>0.97474773168043505</v>
          </cell>
          <cell r="H70">
            <v>38.224070032370498</v>
          </cell>
          <cell r="I70">
            <v>10.0452855190759</v>
          </cell>
          <cell r="J70">
            <v>0.22736515110835301</v>
          </cell>
        </row>
        <row r="71">
          <cell r="A71" t="str">
            <v>CO2</v>
          </cell>
          <cell r="B71" t="str">
            <v>VAR_fout</v>
          </cell>
          <cell r="C71" t="str">
            <v>D-ILFO</v>
          </cell>
          <cell r="E71">
            <v>688.83966310621599</v>
          </cell>
          <cell r="F71">
            <v>651.14210038778594</v>
          </cell>
          <cell r="G71">
            <v>615.94043171897795</v>
          </cell>
          <cell r="H71">
            <v>536.08612624866896</v>
          </cell>
          <cell r="I71">
            <v>228.26199883879201</v>
          </cell>
          <cell r="J71">
            <v>4.1372729307139399E-3</v>
          </cell>
        </row>
        <row r="72">
          <cell r="A72" t="str">
            <v>CO2</v>
          </cell>
          <cell r="B72" t="str">
            <v>VAR_fout</v>
          </cell>
          <cell r="C72" t="str">
            <v>D-CNGA</v>
          </cell>
          <cell r="H72">
            <v>0.215775518497131</v>
          </cell>
          <cell r="I72">
            <v>164.69092457669299</v>
          </cell>
          <cell r="J72">
            <v>2.6702144143627302E-2</v>
          </cell>
        </row>
        <row r="73">
          <cell r="A73" t="str">
            <v>CO2</v>
          </cell>
          <cell r="B73" t="str">
            <v>VAR_fout</v>
          </cell>
          <cell r="C73" t="str">
            <v>D-TNGA</v>
          </cell>
          <cell r="E73">
            <v>13.9898803723217</v>
          </cell>
          <cell r="F73">
            <v>6.0184324186263503</v>
          </cell>
          <cell r="G73">
            <v>274.26681603329803</v>
          </cell>
          <cell r="H73">
            <v>513.38005731923499</v>
          </cell>
          <cell r="I73">
            <v>8.9723899144005401E-2</v>
          </cell>
          <cell r="J73">
            <v>8.3078643055222196E-2</v>
          </cell>
        </row>
        <row r="74">
          <cell r="A74" t="str">
            <v>CO2</v>
          </cell>
          <cell r="B74" t="str">
            <v>VAR_fout</v>
          </cell>
          <cell r="C74" t="str">
            <v>D-SNGA</v>
          </cell>
          <cell r="E74">
            <v>1521.9392627894199</v>
          </cell>
          <cell r="F74">
            <v>1512.9595828792901</v>
          </cell>
          <cell r="G74">
            <v>1355.8761448857999</v>
          </cell>
          <cell r="H74">
            <v>1285.57585731616</v>
          </cell>
          <cell r="I74">
            <v>952.49832642216495</v>
          </cell>
          <cell r="J74">
            <v>675.06957809255198</v>
          </cell>
        </row>
        <row r="75">
          <cell r="A75" t="str">
            <v>CO2</v>
          </cell>
          <cell r="B75" t="str">
            <v>VAR_fout</v>
          </cell>
          <cell r="C75" t="str">
            <v>D-RNGA</v>
          </cell>
          <cell r="E75">
            <v>2650.6777191362899</v>
          </cell>
          <cell r="F75">
            <v>2610.2149371499399</v>
          </cell>
          <cell r="G75">
            <v>2663.51849362954</v>
          </cell>
          <cell r="H75">
            <v>2528.01784469326</v>
          </cell>
          <cell r="I75">
            <v>2537.3725634397802</v>
          </cell>
          <cell r="J75">
            <v>1947.4709268366701</v>
          </cell>
        </row>
        <row r="76">
          <cell r="A76" t="str">
            <v>CO2</v>
          </cell>
          <cell r="B76" t="str">
            <v>VAR_fout</v>
          </cell>
          <cell r="C76" t="str">
            <v>D-SLFO</v>
          </cell>
          <cell r="E76">
            <v>2267.78865391519</v>
          </cell>
          <cell r="F76">
            <v>2030.3035526751901</v>
          </cell>
          <cell r="G76">
            <v>2011.59434530831</v>
          </cell>
          <cell r="H76">
            <v>1472.28355173204</v>
          </cell>
          <cell r="I76">
            <v>917.80751855723497</v>
          </cell>
          <cell r="J76">
            <v>389.98420063097598</v>
          </cell>
        </row>
        <row r="77">
          <cell r="A77" t="str">
            <v>CO2</v>
          </cell>
          <cell r="B77" t="str">
            <v>VAR_fout</v>
          </cell>
          <cell r="C77" t="str">
            <v>D-RLFO</v>
          </cell>
          <cell r="E77">
            <v>4514.4824243991197</v>
          </cell>
          <cell r="F77">
            <v>3846.5256430904701</v>
          </cell>
          <cell r="G77">
            <v>3759.02184530365</v>
          </cell>
          <cell r="H77">
            <v>2459.9452613243502</v>
          </cell>
          <cell r="I77">
            <v>1305.95849287279</v>
          </cell>
          <cell r="J77">
            <v>429.479741625636</v>
          </cell>
        </row>
        <row r="78">
          <cell r="A78" t="str">
            <v>CO2</v>
          </cell>
          <cell r="B78" t="str">
            <v>VAR_fout</v>
          </cell>
          <cell r="C78" t="str">
            <v>D-TGSL</v>
          </cell>
          <cell r="E78">
            <v>5867.5668658576697</v>
          </cell>
          <cell r="F78">
            <v>5899.1156624618898</v>
          </cell>
          <cell r="G78">
            <v>5335.5364440124104</v>
          </cell>
          <cell r="H78">
            <v>4358.9113485912203</v>
          </cell>
          <cell r="I78">
            <v>2981.7325046422102</v>
          </cell>
          <cell r="J78">
            <v>2227.1078855731798</v>
          </cell>
        </row>
        <row r="79">
          <cell r="A79" t="str">
            <v>CO2</v>
          </cell>
          <cell r="B79" t="str">
            <v>VAR_fout</v>
          </cell>
          <cell r="C79" t="str">
            <v>D-INGA</v>
          </cell>
          <cell r="E79">
            <v>2101.49102029609</v>
          </cell>
          <cell r="F79">
            <v>1805.3934043721799</v>
          </cell>
          <cell r="G79">
            <v>1813.56144452694</v>
          </cell>
          <cell r="H79">
            <v>1647.6300411707</v>
          </cell>
          <cell r="I79">
            <v>736.94999161928104</v>
          </cell>
          <cell r="J79">
            <v>121.885506347225</v>
          </cell>
        </row>
        <row r="80">
          <cell r="A80" t="str">
            <v>ENGA</v>
          </cell>
          <cell r="B80" t="str">
            <v>VAR_fout</v>
          </cell>
          <cell r="C80" t="str">
            <v>D-ENGA</v>
          </cell>
          <cell r="E80">
            <v>5.6995501997699991</v>
          </cell>
          <cell r="F80">
            <v>1.4920446177113822</v>
          </cell>
          <cell r="G80">
            <v>1.9012243642061215E-2</v>
          </cell>
          <cell r="H80">
            <v>0.68674095384447031</v>
          </cell>
          <cell r="I80">
            <v>0.1954324033759415</v>
          </cell>
          <cell r="J80">
            <v>2.3332802158413431E-2</v>
          </cell>
        </row>
        <row r="81">
          <cell r="A81" t="str">
            <v>ILFO</v>
          </cell>
          <cell r="B81" t="str">
            <v>VAR_fout</v>
          </cell>
          <cell r="C81" t="str">
            <v>D-ILFO</v>
          </cell>
          <cell r="E81">
            <v>9.1904374214621267</v>
          </cell>
          <cell r="F81">
            <v>8.6874798978737218</v>
          </cell>
          <cell r="G81">
            <v>8.2178968542254989</v>
          </cell>
          <cell r="H81">
            <v>7.1524881253745889</v>
          </cell>
          <cell r="I81">
            <v>3.4351916203274815</v>
          </cell>
          <cell r="J81">
            <v>0.38981635006274257</v>
          </cell>
        </row>
        <row r="82">
          <cell r="A82" t="str">
            <v>CHEAT</v>
          </cell>
          <cell r="B82" t="str">
            <v>VAR_fout</v>
          </cell>
          <cell r="C82" t="str">
            <v>D-CHEAT</v>
          </cell>
          <cell r="I82">
            <v>3.1188722486619197E-4</v>
          </cell>
          <cell r="J82">
            <v>2.2900172342479115E-4</v>
          </cell>
        </row>
        <row r="83">
          <cell r="A83" t="str">
            <v>CHEAT</v>
          </cell>
          <cell r="B83" t="str">
            <v>VAR_fin</v>
          </cell>
          <cell r="C83" t="str">
            <v>SUP_ELCH2_SOEC</v>
          </cell>
          <cell r="I83">
            <v>3.1188722486619197E-4</v>
          </cell>
          <cell r="J83">
            <v>2.2900172342479115E-4</v>
          </cell>
        </row>
        <row r="84">
          <cell r="A84" t="str">
            <v>TDSL</v>
          </cell>
          <cell r="B84" t="str">
            <v>VAR_fout</v>
          </cell>
          <cell r="C84" t="str">
            <v>D-TBDS1</v>
          </cell>
          <cell r="E84">
            <v>2.9709298558870532</v>
          </cell>
          <cell r="F84">
            <v>2.9709287742282346</v>
          </cell>
          <cell r="G84">
            <v>2.9709287556988779</v>
          </cell>
          <cell r="H84">
            <v>2.379401439918392</v>
          </cell>
          <cell r="I84">
            <v>1.1929023191268728</v>
          </cell>
          <cell r="J84">
            <v>1.2801639477526781</v>
          </cell>
        </row>
        <row r="85">
          <cell r="A85" t="str">
            <v>CNGA</v>
          </cell>
          <cell r="B85" t="str">
            <v>VAR_fout</v>
          </cell>
          <cell r="C85" t="str">
            <v>D-CNGA</v>
          </cell>
          <cell r="H85">
            <v>4.4808057946885086E-3</v>
          </cell>
          <cell r="I85">
            <v>2.9119501846797999</v>
          </cell>
          <cell r="J85">
            <v>1.6245190110742061E-3</v>
          </cell>
        </row>
        <row r="86">
          <cell r="A86" t="str">
            <v>CNGA</v>
          </cell>
          <cell r="B86" t="str">
            <v>VAR_fin</v>
          </cell>
          <cell r="C86" t="str">
            <v>SUP_NGAH2</v>
          </cell>
          <cell r="H86">
            <v>4.4808057946885086E-3</v>
          </cell>
          <cell r="I86">
            <v>2.9119501846797999</v>
          </cell>
          <cell r="J86">
            <v>1.6245190110742061E-3</v>
          </cell>
        </row>
        <row r="87">
          <cell r="A87" t="str">
            <v>LBIO</v>
          </cell>
          <cell r="B87" t="str">
            <v>VAR_fin</v>
          </cell>
          <cell r="C87" t="str">
            <v>D-LBIO</v>
          </cell>
          <cell r="H87">
            <v>1.8524859846869073E-4</v>
          </cell>
          <cell r="I87">
            <v>3.6097453471381762E-2</v>
          </cell>
          <cell r="J87">
            <v>2.135282309427978</v>
          </cell>
        </row>
        <row r="88">
          <cell r="A88" t="str">
            <v>H2_E</v>
          </cell>
          <cell r="B88" t="str">
            <v>VAR_fout</v>
          </cell>
          <cell r="C88" t="str">
            <v>SUP_ELCH2_D</v>
          </cell>
          <cell r="H88">
            <v>4.2670330627763398E-8</v>
          </cell>
          <cell r="I88">
            <v>8.177992780567607E-2</v>
          </cell>
          <cell r="J88">
            <v>0.89932024029943902</v>
          </cell>
        </row>
        <row r="89">
          <cell r="A89" t="str">
            <v>H2_E</v>
          </cell>
          <cell r="B89" t="str">
            <v>VAR_fin</v>
          </cell>
          <cell r="C89" t="str">
            <v>D-DH2</v>
          </cell>
          <cell r="H89">
            <v>4.2670330627763398E-8</v>
          </cell>
          <cell r="I89">
            <v>8.177992780567607E-2</v>
          </cell>
          <cell r="J89">
            <v>0.89932024029943902</v>
          </cell>
        </row>
        <row r="90">
          <cell r="A90" t="str">
            <v>BNGA</v>
          </cell>
          <cell r="B90" t="str">
            <v>VAR_fout</v>
          </cell>
          <cell r="C90" t="str">
            <v>SUP_BIONGA</v>
          </cell>
          <cell r="E90">
            <v>1.1764710821049138</v>
          </cell>
          <cell r="F90">
            <v>3.9222018927930589</v>
          </cell>
          <cell r="G90">
            <v>3.9220301451256203</v>
          </cell>
          <cell r="H90">
            <v>2.4517321758570576</v>
          </cell>
          <cell r="I90">
            <v>2.815636811061085</v>
          </cell>
          <cell r="J90">
            <v>6.0760891740232985</v>
          </cell>
        </row>
        <row r="91">
          <cell r="A91" t="str">
            <v>BNGA</v>
          </cell>
          <cell r="B91" t="str">
            <v>VAR_fin</v>
          </cell>
          <cell r="C91" t="str">
            <v>D-ENGA</v>
          </cell>
          <cell r="E91">
            <v>0.20725605238731962</v>
          </cell>
          <cell r="F91">
            <v>3.1720619310368553E-5</v>
          </cell>
          <cell r="G91">
            <v>1.7802360737962861E-3</v>
          </cell>
          <cell r="H91">
            <v>2.0064414375344252E-3</v>
          </cell>
          <cell r="I91">
            <v>1.7434201626045313E-2</v>
          </cell>
          <cell r="J91">
            <v>1.8830895094428989E-2</v>
          </cell>
        </row>
        <row r="92">
          <cell r="A92" t="str">
            <v>BNGA</v>
          </cell>
          <cell r="B92" t="str">
            <v>VAR_fin</v>
          </cell>
          <cell r="C92" t="str">
            <v>D-CNGA</v>
          </cell>
          <cell r="H92">
            <v>6.2090834415075844E-4</v>
          </cell>
          <cell r="I92">
            <v>1.1278062994557621E-3</v>
          </cell>
          <cell r="J92">
            <v>1.1332817324995604E-3</v>
          </cell>
        </row>
        <row r="93">
          <cell r="A93" t="str">
            <v>BNGA</v>
          </cell>
          <cell r="B93" t="str">
            <v>VAR_fin</v>
          </cell>
          <cell r="C93" t="str">
            <v>D-TNGA</v>
          </cell>
          <cell r="E93">
            <v>2.0256357521064621E-2</v>
          </cell>
          <cell r="F93">
            <v>1.1462307618278444E-2</v>
          </cell>
          <cell r="G93">
            <v>0.47970880059380244</v>
          </cell>
          <cell r="H93">
            <v>9.9837085707411496E-4</v>
          </cell>
          <cell r="I93">
            <v>5.6619789363993042E-5</v>
          </cell>
          <cell r="J93">
            <v>2.9629250992635601E-5</v>
          </cell>
        </row>
        <row r="94">
          <cell r="A94" t="str">
            <v>BNGA</v>
          </cell>
          <cell r="B94" t="str">
            <v>VAR_fin</v>
          </cell>
          <cell r="C94" t="str">
            <v>D-SNGA</v>
          </cell>
          <cell r="E94">
            <v>0.30752509736887812</v>
          </cell>
          <cell r="F94">
            <v>1.7538424768731116</v>
          </cell>
          <cell r="G94">
            <v>1.1649231633435373</v>
          </cell>
          <cell r="H94">
            <v>9.9984362932693349E-4</v>
          </cell>
          <cell r="I94">
            <v>1.033177888613964E-4</v>
          </cell>
          <cell r="J94">
            <v>3.9216410862240814E-5</v>
          </cell>
        </row>
        <row r="95">
          <cell r="A95" t="str">
            <v>BNGA</v>
          </cell>
          <cell r="B95" t="str">
            <v>VAR_fin</v>
          </cell>
          <cell r="C95" t="str">
            <v>D-RNGA</v>
          </cell>
          <cell r="E95">
            <v>0.31258078956209345</v>
          </cell>
          <cell r="F95">
            <v>2.1568414840838899</v>
          </cell>
          <cell r="G95">
            <v>1.4940617678424617</v>
          </cell>
          <cell r="H95">
            <v>1.0083413691474728E-3</v>
          </cell>
          <cell r="I95">
            <v>1.0340795891534212E-4</v>
          </cell>
          <cell r="J95">
            <v>3.9233455974476793E-5</v>
          </cell>
        </row>
        <row r="96">
          <cell r="A96" t="str">
            <v>BNGA</v>
          </cell>
          <cell r="B96" t="str">
            <v>VAR_fin</v>
          </cell>
          <cell r="C96" t="str">
            <v>D-INGA</v>
          </cell>
          <cell r="E96">
            <v>0.32886139065797426</v>
          </cell>
          <cell r="F96">
            <v>3.2009657676469875E-5</v>
          </cell>
          <cell r="G96">
            <v>0.78156570329213249</v>
          </cell>
          <cell r="H96">
            <v>2.4460962361543221</v>
          </cell>
          <cell r="I96">
            <v>2.79683106251461</v>
          </cell>
          <cell r="J96">
            <v>6.0560447717559027</v>
          </cell>
        </row>
        <row r="97">
          <cell r="A97" t="str">
            <v>LFO</v>
          </cell>
          <cell r="B97" t="str">
            <v>VAR_fin</v>
          </cell>
          <cell r="C97" t="str">
            <v>D-ILFO</v>
          </cell>
          <cell r="E97">
            <v>9.3465354559866434</v>
          </cell>
          <cell r="F97">
            <v>8.8350352834163584</v>
          </cell>
          <cell r="G97">
            <v>8.3574007017500449</v>
          </cell>
          <cell r="H97">
            <v>7.2738958785436711</v>
          </cell>
          <cell r="I97">
            <v>3.0971777318696305</v>
          </cell>
          <cell r="J97">
            <v>5.6136674772238003E-5</v>
          </cell>
        </row>
        <row r="98">
          <cell r="A98" t="str">
            <v>LFO</v>
          </cell>
          <cell r="B98" t="str">
            <v>VAR_fin</v>
          </cell>
          <cell r="C98" t="str">
            <v>D-SLFO</v>
          </cell>
          <cell r="E98">
            <v>30.770538044982221</v>
          </cell>
          <cell r="F98">
            <v>27.548216454208831</v>
          </cell>
          <cell r="G98">
            <v>27.29436018057412</v>
          </cell>
          <cell r="H98">
            <v>19.976710335577241</v>
          </cell>
          <cell r="I98">
            <v>12.453290618144296</v>
          </cell>
          <cell r="J98">
            <v>5.2915088281000813</v>
          </cell>
        </row>
        <row r="99">
          <cell r="A99" t="str">
            <v>LFO</v>
          </cell>
          <cell r="B99" t="str">
            <v>VAR_fin</v>
          </cell>
          <cell r="C99" t="str">
            <v>D-RLFO</v>
          </cell>
          <cell r="E99">
            <v>61.254849720476543</v>
          </cell>
          <cell r="F99">
            <v>52.191664085352329</v>
          </cell>
          <cell r="G99">
            <v>51.004366964771322</v>
          </cell>
          <cell r="H99">
            <v>33.377819013898893</v>
          </cell>
          <cell r="I99">
            <v>17.719925276428622</v>
          </cell>
          <cell r="J99">
            <v>5.8274049067250475</v>
          </cell>
        </row>
        <row r="100">
          <cell r="A100" t="str">
            <v>MNR</v>
          </cell>
          <cell r="B100" t="str">
            <v>VAR_fin</v>
          </cell>
          <cell r="C100" t="str">
            <v>SUP_MNRBIO</v>
          </cell>
          <cell r="E100">
            <v>3.7980852578499009</v>
          </cell>
          <cell r="F100">
            <v>10.536135487074938</v>
          </cell>
          <cell r="G100">
            <v>10.536628308361342</v>
          </cell>
          <cell r="H100">
            <v>14.741684845067212</v>
          </cell>
          <cell r="I100">
            <v>21.582233450318384</v>
          </cell>
          <cell r="J100">
            <v>26.999996725975773</v>
          </cell>
        </row>
        <row r="101">
          <cell r="A101" t="str">
            <v>TNGA</v>
          </cell>
          <cell r="B101" t="str">
            <v>VAR_fout</v>
          </cell>
          <cell r="C101" t="str">
            <v>D-TNGA</v>
          </cell>
          <cell r="E101">
            <v>0.26745076935109163</v>
          </cell>
          <cell r="F101">
            <v>0.11920155864425455</v>
          </cell>
          <cell r="G101">
            <v>5.4900374573140445</v>
          </cell>
          <cell r="H101">
            <v>9.074818306092844</v>
          </cell>
          <cell r="I101">
            <v>1.6583927842144591E-3</v>
          </cell>
          <cell r="J101">
            <v>1.5116828649058942E-3</v>
          </cell>
        </row>
        <row r="102">
          <cell r="A102" t="str">
            <v>WOD</v>
          </cell>
          <cell r="B102" t="str">
            <v>VAR_fin</v>
          </cell>
          <cell r="C102" t="str">
            <v>D-CWOD</v>
          </cell>
          <cell r="E102">
            <v>8.6487018191370559</v>
          </cell>
          <cell r="F102">
            <v>8.2974131048112554</v>
          </cell>
          <cell r="G102">
            <v>4.5960352717805923</v>
          </cell>
          <cell r="H102">
            <v>4.0552831510627403</v>
          </cell>
          <cell r="I102">
            <v>5.7757825706836936</v>
          </cell>
          <cell r="J102">
            <v>8.7836278549544193</v>
          </cell>
        </row>
        <row r="103">
          <cell r="A103" t="str">
            <v>GSL</v>
          </cell>
          <cell r="B103" t="str">
            <v>VAR_fin</v>
          </cell>
          <cell r="C103" t="str">
            <v>D-TGSL</v>
          </cell>
          <cell r="E103">
            <v>79.506326095632531</v>
          </cell>
          <cell r="F103">
            <v>79.933816564524363</v>
          </cell>
          <cell r="G103">
            <v>72.297241788786152</v>
          </cell>
          <cell r="H103">
            <v>59.063839411805112</v>
          </cell>
          <cell r="I103">
            <v>40.402879466696504</v>
          </cell>
          <cell r="J103">
            <v>30.177613625652821</v>
          </cell>
        </row>
        <row r="104">
          <cell r="A104" t="str">
            <v>IBIO</v>
          </cell>
          <cell r="B104" t="str">
            <v>VAR_fout</v>
          </cell>
          <cell r="C104" t="str">
            <v>D-IBIO</v>
          </cell>
          <cell r="E104">
            <v>0.43672591874092204</v>
          </cell>
          <cell r="F104">
            <v>0.5520652427091518</v>
          </cell>
          <cell r="G104">
            <v>2.4035812880047565</v>
          </cell>
          <cell r="H104">
            <v>5.7740959704200439</v>
          </cell>
          <cell r="I104">
            <v>8.2782243240511413</v>
          </cell>
          <cell r="J104">
            <v>9.0481726667279023</v>
          </cell>
        </row>
        <row r="105">
          <cell r="A105" t="str">
            <v>SNGA</v>
          </cell>
          <cell r="B105" t="str">
            <v>VAR_fout</v>
          </cell>
          <cell r="C105" t="str">
            <v>D-SNGA</v>
          </cell>
          <cell r="E105">
            <v>27.205353045569371</v>
          </cell>
          <cell r="F105">
            <v>28.488357531009193</v>
          </cell>
          <cell r="G105">
            <v>25.13987437278983</v>
          </cell>
          <cell r="H105">
            <v>22.722581474555138</v>
          </cell>
          <cell r="I105">
            <v>16.835221181332138</v>
          </cell>
          <cell r="J105">
            <v>11.952521036932387</v>
          </cell>
        </row>
        <row r="106">
          <cell r="A106" t="str">
            <v>AUX_H2STG_IN</v>
          </cell>
          <cell r="B106" t="str">
            <v>VAR_fin</v>
          </cell>
          <cell r="C106" t="str">
            <v>STG-H2</v>
          </cell>
          <cell r="H106">
            <v>3.9782496694456553E-6</v>
          </cell>
          <cell r="I106">
            <v>1.5714334003016846E-5</v>
          </cell>
          <cell r="J106">
            <v>1.0493388335105332E-5</v>
          </cell>
        </row>
        <row r="107">
          <cell r="A107" t="str">
            <v>AUX_H2STG_IN</v>
          </cell>
          <cell r="B107" t="str">
            <v>VAR_fin</v>
          </cell>
          <cell r="C107" t="str">
            <v>STG-H2</v>
          </cell>
          <cell r="H107">
            <v>1.6412980817283746E-5</v>
          </cell>
          <cell r="I107">
            <v>6.9595366113427227E-5</v>
          </cell>
          <cell r="J107">
            <v>4.8973228333737291</v>
          </cell>
        </row>
        <row r="108">
          <cell r="A108" t="str">
            <v>AUX_H2STG_IN</v>
          </cell>
          <cell r="B108" t="str">
            <v>VAR_fin</v>
          </cell>
          <cell r="C108" t="str">
            <v>STG-H2</v>
          </cell>
          <cell r="H108">
            <v>3.3924660205649635E-6</v>
          </cell>
          <cell r="I108">
            <v>8.7471467856109736E-6</v>
          </cell>
          <cell r="J108">
            <v>8.8666932397079712E-6</v>
          </cell>
        </row>
        <row r="109">
          <cell r="A109" t="str">
            <v>AUX_H2STG_IN</v>
          </cell>
          <cell r="B109" t="str">
            <v>VAR_fin</v>
          </cell>
          <cell r="C109" t="str">
            <v>STG-H2</v>
          </cell>
          <cell r="H109">
            <v>4.1560241715103215E-6</v>
          </cell>
          <cell r="I109">
            <v>1.4544115183582014E-5</v>
          </cell>
          <cell r="J109">
            <v>9.8040873864066602E-6</v>
          </cell>
        </row>
        <row r="110">
          <cell r="A110" t="str">
            <v>AUX_H2STG_IN</v>
          </cell>
          <cell r="B110" t="str">
            <v>VAR_fin</v>
          </cell>
          <cell r="C110" t="str">
            <v>STG-H2</v>
          </cell>
          <cell r="H110">
            <v>4.8862409557628204E-6</v>
          </cell>
          <cell r="I110">
            <v>3.0589770141217531E-5</v>
          </cell>
          <cell r="J110">
            <v>4.8972936692047728</v>
          </cell>
        </row>
        <row r="111">
          <cell r="A111" t="str">
            <v>H2</v>
          </cell>
          <cell r="B111" t="str">
            <v>VAR_fout</v>
          </cell>
          <cell r="C111" t="str">
            <v>SUP_NGAH2</v>
          </cell>
          <cell r="H111">
            <v>3.4054124039632691E-3</v>
          </cell>
          <cell r="I111">
            <v>2.213082140356649</v>
          </cell>
          <cell r="J111">
            <v>1.2346344484163955E-3</v>
          </cell>
        </row>
        <row r="112">
          <cell r="A112" t="str">
            <v>H2</v>
          </cell>
          <cell r="B112" t="str">
            <v>VAR_fout</v>
          </cell>
          <cell r="C112" t="str">
            <v>STG-H2</v>
          </cell>
          <cell r="H112">
            <v>4.1139769267093726E-6</v>
          </cell>
          <cell r="I112">
            <v>1.6031909431788919E-5</v>
          </cell>
          <cell r="J112">
            <v>1.4406602389641543</v>
          </cell>
        </row>
        <row r="113">
          <cell r="A113" t="str">
            <v>H2</v>
          </cell>
          <cell r="B113" t="str">
            <v>VAR_fout</v>
          </cell>
          <cell r="C113" t="str">
            <v>STG-H2</v>
          </cell>
          <cell r="H113">
            <v>1.624950363021118E-5</v>
          </cell>
          <cell r="I113">
            <v>6.8222229410487973E-5</v>
          </cell>
          <cell r="J113">
            <v>4.8483549221793263</v>
          </cell>
        </row>
        <row r="114">
          <cell r="A114" t="str">
            <v>H2</v>
          </cell>
          <cell r="B114" t="str">
            <v>VAR_fout</v>
          </cell>
          <cell r="C114" t="str">
            <v>STG-H2</v>
          </cell>
          <cell r="H114">
            <v>4.8592489048737843E-6</v>
          </cell>
          <cell r="I114">
            <v>2.5479810628299452E-5</v>
          </cell>
          <cell r="J114">
            <v>1.9628880843868615</v>
          </cell>
        </row>
        <row r="115">
          <cell r="A115" t="str">
            <v>H2</v>
          </cell>
          <cell r="B115" t="str">
            <v>VAR_fout</v>
          </cell>
          <cell r="C115" t="str">
            <v>STG-H2</v>
          </cell>
          <cell r="H115">
            <v>3.9460887101658805E-6</v>
          </cell>
          <cell r="I115">
            <v>1.708936355798591E-5</v>
          </cell>
          <cell r="J115">
            <v>1.4447804977749994</v>
          </cell>
        </row>
        <row r="116">
          <cell r="A116" t="str">
            <v>H2</v>
          </cell>
          <cell r="B116" t="str">
            <v>VAR_fout</v>
          </cell>
          <cell r="C116" t="str">
            <v>STG-H2</v>
          </cell>
          <cell r="H116">
            <v>3.3301890884620985E-6</v>
          </cell>
          <cell r="I116">
            <v>9.6211457924137114E-6</v>
          </cell>
          <cell r="J116">
            <v>2.6101053308608165E-5</v>
          </cell>
        </row>
        <row r="117">
          <cell r="A117" t="str">
            <v>H2</v>
          </cell>
          <cell r="B117" t="str">
            <v>VAR_fout</v>
          </cell>
          <cell r="C117" t="str">
            <v>IMPH2</v>
          </cell>
          <cell r="I117">
            <v>0.22241212255204187</v>
          </cell>
          <cell r="J117">
            <v>0.22241399737269177</v>
          </cell>
        </row>
        <row r="118">
          <cell r="A118" t="str">
            <v>H2</v>
          </cell>
          <cell r="B118" t="str">
            <v>VAR_fout</v>
          </cell>
          <cell r="C118" t="str">
            <v>SUP_WODH2</v>
          </cell>
          <cell r="J118">
            <v>0.8761020669790649</v>
          </cell>
        </row>
        <row r="119">
          <cell r="A119" t="str">
            <v>H2</v>
          </cell>
          <cell r="B119" t="str">
            <v>VAR_fout</v>
          </cell>
          <cell r="C119" t="str">
            <v>SUP_ELCH2_SOEC</v>
          </cell>
          <cell r="I119">
            <v>2.087245274104514E-3</v>
          </cell>
          <cell r="J119">
            <v>2.0610155108231215E-3</v>
          </cell>
        </row>
        <row r="120">
          <cell r="A120" t="str">
            <v>H2</v>
          </cell>
          <cell r="B120" t="str">
            <v>VAR_fout</v>
          </cell>
          <cell r="C120" t="str">
            <v>SUP_ELCH2</v>
          </cell>
          <cell r="E120">
            <v>3.4758759493762619E-3</v>
          </cell>
          <cell r="F120">
            <v>4.5982054048362047E-3</v>
          </cell>
          <cell r="G120">
            <v>0.23167385735632717</v>
          </cell>
          <cell r="H120">
            <v>0.44656068196500742</v>
          </cell>
          <cell r="I120">
            <v>0.87546943156249957</v>
          </cell>
          <cell r="J120">
            <v>6.5378614659492102</v>
          </cell>
        </row>
        <row r="121">
          <cell r="A121" t="str">
            <v>H2</v>
          </cell>
          <cell r="B121" t="str">
            <v>VAR_fout</v>
          </cell>
          <cell r="C121" t="str">
            <v>D-DH2</v>
          </cell>
          <cell r="H121">
            <v>4.2243627321486003E-8</v>
          </cell>
          <cell r="I121">
            <v>8.096212852761922E-2</v>
          </cell>
          <cell r="J121">
            <v>0.89032703789644529</v>
          </cell>
        </row>
        <row r="122">
          <cell r="A122" t="str">
            <v>H2</v>
          </cell>
          <cell r="B122" t="str">
            <v>VAR_fin</v>
          </cell>
          <cell r="C122" t="str">
            <v>STG-H2</v>
          </cell>
          <cell r="H122">
            <v>3.9782496694456553E-6</v>
          </cell>
          <cell r="I122">
            <v>1.5714334003016846E-5</v>
          </cell>
          <cell r="J122">
            <v>1.0493388335105332E-5</v>
          </cell>
        </row>
        <row r="123">
          <cell r="A123" t="str">
            <v>H2</v>
          </cell>
          <cell r="B123" t="str">
            <v>VAR_fin</v>
          </cell>
          <cell r="C123" t="str">
            <v>STG-H2</v>
          </cell>
          <cell r="H123">
            <v>1.6412980817283746E-5</v>
          </cell>
          <cell r="I123">
            <v>6.9595366113427227E-5</v>
          </cell>
          <cell r="J123">
            <v>4.8973228333737291</v>
          </cell>
        </row>
        <row r="124">
          <cell r="A124" t="str">
            <v>H2</v>
          </cell>
          <cell r="B124" t="str">
            <v>VAR_fin</v>
          </cell>
          <cell r="C124" t="str">
            <v>STG-H2</v>
          </cell>
          <cell r="H124">
            <v>3.3924660205649635E-6</v>
          </cell>
          <cell r="I124">
            <v>8.7471467856109736E-6</v>
          </cell>
          <cell r="J124">
            <v>8.8666932397079712E-6</v>
          </cell>
        </row>
        <row r="125">
          <cell r="A125" t="str">
            <v>H2</v>
          </cell>
          <cell r="B125" t="str">
            <v>VAR_fin</v>
          </cell>
          <cell r="C125" t="str">
            <v>STG-H2</v>
          </cell>
          <cell r="H125">
            <v>4.1560241715103215E-6</v>
          </cell>
          <cell r="I125">
            <v>1.4544115183582014E-5</v>
          </cell>
          <cell r="J125">
            <v>9.8040873864066602E-6</v>
          </cell>
        </row>
        <row r="126">
          <cell r="A126" t="str">
            <v>H2</v>
          </cell>
          <cell r="B126" t="str">
            <v>VAR_fin</v>
          </cell>
          <cell r="C126" t="str">
            <v>STG-H2</v>
          </cell>
          <cell r="H126">
            <v>4.8862409557628204E-6</v>
          </cell>
          <cell r="I126">
            <v>3.0589770141217531E-5</v>
          </cell>
          <cell r="J126">
            <v>4.8972936692047728</v>
          </cell>
        </row>
        <row r="127">
          <cell r="A127" t="str">
            <v>H2</v>
          </cell>
          <cell r="B127" t="str">
            <v>VAR_fin</v>
          </cell>
          <cell r="C127" t="str">
            <v>D-ENGA</v>
          </cell>
          <cell r="G127">
            <v>6.4536955821144604E-6</v>
          </cell>
          <cell r="H127">
            <v>9.2006320084598824E-3</v>
          </cell>
          <cell r="I127">
            <v>5.1833550373383912E-4</v>
          </cell>
          <cell r="J127">
            <v>5.5183003250897685E-4</v>
          </cell>
        </row>
        <row r="128">
          <cell r="A128" t="str">
            <v>H2</v>
          </cell>
          <cell r="B128" t="str">
            <v>VAR_fin</v>
          </cell>
          <cell r="C128" t="str">
            <v>D-CNGA</v>
          </cell>
          <cell r="H128">
            <v>5.5846824861980491E-5</v>
          </cell>
          <cell r="I128">
            <v>8.1228574646731447E-5</v>
          </cell>
          <cell r="J128">
            <v>2.4311167767556058E-5</v>
          </cell>
        </row>
        <row r="129">
          <cell r="A129" t="str">
            <v>H2</v>
          </cell>
          <cell r="B129" t="str">
            <v>VAR_fin</v>
          </cell>
          <cell r="C129" t="str">
            <v>D-TNGA</v>
          </cell>
          <cell r="F129">
            <v>1.4096538391832471E-3</v>
          </cell>
          <cell r="G129">
            <v>0.16495397239400797</v>
          </cell>
          <cell r="H129">
            <v>2.8348876065522878E-4</v>
          </cell>
          <cell r="I129">
            <v>1.5987180577127827E-5</v>
          </cell>
          <cell r="J129">
            <v>1.3658845793815934E-5</v>
          </cell>
        </row>
        <row r="130">
          <cell r="A130" t="str">
            <v>H2</v>
          </cell>
          <cell r="B130" t="str">
            <v>VAR_fin</v>
          </cell>
          <cell r="C130" t="str">
            <v>D-SNGA</v>
          </cell>
          <cell r="G130">
            <v>1.4906365732836841E-2</v>
          </cell>
          <cell r="H130">
            <v>2.7967180600012574E-4</v>
          </cell>
          <cell r="I130">
            <v>6.4821894679003309E-4</v>
          </cell>
          <cell r="J130">
            <v>2.1361133084862875E-2</v>
          </cell>
        </row>
        <row r="131">
          <cell r="A131" t="str">
            <v>H2</v>
          </cell>
          <cell r="B131" t="str">
            <v>VAR_fin</v>
          </cell>
          <cell r="C131" t="str">
            <v>D-RNGA</v>
          </cell>
          <cell r="G131">
            <v>2.9004759838238702E-2</v>
          </cell>
          <cell r="H131">
            <v>3.2210374079690268E-4</v>
          </cell>
          <cell r="I131">
            <v>3.718423653984546E-3</v>
          </cell>
          <cell r="J131">
            <v>6.3697972868315189E-2</v>
          </cell>
        </row>
        <row r="132">
          <cell r="A132" t="str">
            <v>H2</v>
          </cell>
          <cell r="B132" t="str">
            <v>VAR_fin</v>
          </cell>
          <cell r="C132" t="str">
            <v>D-INGA</v>
          </cell>
          <cell r="G132">
            <v>1.9542469189548529E-2</v>
          </cell>
          <cell r="H132">
            <v>4.924683274785923E-2</v>
          </cell>
          <cell r="I132">
            <v>8.426850897329681E-2</v>
          </cell>
          <cell r="J132">
            <v>6.2227352555601696E-2</v>
          </cell>
        </row>
        <row r="133">
          <cell r="A133" t="str">
            <v>AUX_H2STG_OUT</v>
          </cell>
          <cell r="B133" t="str">
            <v>VAR_fout</v>
          </cell>
          <cell r="C133" t="str">
            <v>STG-H2</v>
          </cell>
          <cell r="H133">
            <v>4.1139769267093726E-6</v>
          </cell>
          <cell r="I133">
            <v>1.6031909431788919E-5</v>
          </cell>
          <cell r="J133">
            <v>1.4406602389641543</v>
          </cell>
        </row>
        <row r="134">
          <cell r="A134" t="str">
            <v>AUX_H2STG_OUT</v>
          </cell>
          <cell r="B134" t="str">
            <v>VAR_fout</v>
          </cell>
          <cell r="C134" t="str">
            <v>STG-H2</v>
          </cell>
          <cell r="H134">
            <v>1.624950363021118E-5</v>
          </cell>
          <cell r="I134">
            <v>6.8222229410487973E-5</v>
          </cell>
          <cell r="J134">
            <v>4.8483549221793263</v>
          </cell>
        </row>
        <row r="135">
          <cell r="A135" t="str">
            <v>AUX_H2STG_OUT</v>
          </cell>
          <cell r="B135" t="str">
            <v>VAR_fout</v>
          </cell>
          <cell r="C135" t="str">
            <v>STG-H2</v>
          </cell>
          <cell r="H135">
            <v>4.8592489048737843E-6</v>
          </cell>
          <cell r="I135">
            <v>2.5479810628299452E-5</v>
          </cell>
          <cell r="J135">
            <v>1.9628880843868615</v>
          </cell>
        </row>
        <row r="136">
          <cell r="A136" t="str">
            <v>AUX_H2STG_OUT</v>
          </cell>
          <cell r="B136" t="str">
            <v>VAR_fout</v>
          </cell>
          <cell r="C136" t="str">
            <v>STG-H2</v>
          </cell>
          <cell r="H136">
            <v>3.9460887101658805E-6</v>
          </cell>
          <cell r="I136">
            <v>1.708936355798591E-5</v>
          </cell>
          <cell r="J136">
            <v>1.4447804977749994</v>
          </cell>
        </row>
        <row r="137">
          <cell r="A137" t="str">
            <v>AUX_H2STG_OUT</v>
          </cell>
          <cell r="B137" t="str">
            <v>VAR_fout</v>
          </cell>
          <cell r="C137" t="str">
            <v>STG-H2</v>
          </cell>
          <cell r="H137">
            <v>3.3301890884621006E-6</v>
          </cell>
          <cell r="I137">
            <v>9.6211457924137131E-6</v>
          </cell>
          <cell r="J137">
            <v>2.6101053308608165E-5</v>
          </cell>
        </row>
        <row r="138">
          <cell r="A138" t="str">
            <v>RNGA</v>
          </cell>
          <cell r="B138" t="str">
            <v>VAR_fout</v>
          </cell>
          <cell r="C138" t="str">
            <v>D-RNGA</v>
          </cell>
          <cell r="E138">
            <v>47.159755211375185</v>
          </cell>
          <cell r="F138">
            <v>48.28300234607434</v>
          </cell>
          <cell r="G138">
            <v>48.593334515585454</v>
          </cell>
          <cell r="H138">
            <v>44.681601157557658</v>
          </cell>
          <cell r="I138">
            <v>44.849420233515616</v>
          </cell>
          <cell r="J138">
            <v>34.483202853382167</v>
          </cell>
        </row>
        <row r="139">
          <cell r="A139" t="str">
            <v>CWOD</v>
          </cell>
          <cell r="B139" t="str">
            <v>VAR_fout</v>
          </cell>
          <cell r="C139" t="str">
            <v>D-CWOD</v>
          </cell>
          <cell r="E139">
            <v>8.6487018191370559</v>
          </cell>
          <cell r="F139">
            <v>8.2974131048112554</v>
          </cell>
          <cell r="G139">
            <v>4.5960352717805923</v>
          </cell>
          <cell r="H139">
            <v>4.0552831510627403</v>
          </cell>
          <cell r="I139">
            <v>5.7757825706836936</v>
          </cell>
          <cell r="J139">
            <v>8.7836278549544193</v>
          </cell>
        </row>
        <row r="140">
          <cell r="A140" t="str">
            <v>CWOD</v>
          </cell>
          <cell r="B140" t="str">
            <v>VAR_fin</v>
          </cell>
          <cell r="C140" t="str">
            <v>SUP_WODH2</v>
          </cell>
          <cell r="J140">
            <v>1.4601701116317738</v>
          </cell>
        </row>
        <row r="141">
          <cell r="A141" t="str">
            <v>CWOD</v>
          </cell>
          <cell r="B141" t="str">
            <v>VAR_fin</v>
          </cell>
          <cell r="C141" t="str">
            <v>SUP_WODBIO</v>
          </cell>
          <cell r="F141">
            <v>6.769255797851291E-5</v>
          </cell>
          <cell r="G141">
            <v>1.4805187215461262E-4</v>
          </cell>
          <cell r="H141">
            <v>1.6737153723170371E-4</v>
          </cell>
          <cell r="I141">
            <v>2.9341583137130621E-4</v>
          </cell>
          <cell r="J141">
            <v>3.1201735638312125E-4</v>
          </cell>
        </row>
        <row r="142">
          <cell r="A142" t="str">
            <v>CWOD</v>
          </cell>
          <cell r="B142" t="str">
            <v>VAR_fin</v>
          </cell>
          <cell r="C142" t="str">
            <v>CT_CWODBDS</v>
          </cell>
          <cell r="E142">
            <v>1.1746013784922615</v>
          </cell>
          <cell r="F142">
            <v>8.6251766461364481E-5</v>
          </cell>
          <cell r="G142">
            <v>1.7834972729780965</v>
          </cell>
          <cell r="H142">
            <v>9.563293414061796E-4</v>
          </cell>
          <cell r="I142">
            <v>5.752849704144386E-4</v>
          </cell>
          <cell r="J142">
            <v>3.4490269606388417E-4</v>
          </cell>
        </row>
        <row r="143">
          <cell r="A143" t="str">
            <v>CWOD</v>
          </cell>
          <cell r="B143" t="str">
            <v>VAR_fin</v>
          </cell>
          <cell r="C143" t="str">
            <v>CT_CWODPLT</v>
          </cell>
          <cell r="E143">
            <v>7.1186054590829215</v>
          </cell>
          <cell r="F143">
            <v>8.2971991408818262</v>
          </cell>
          <cell r="G143">
            <v>2.4568940268728827</v>
          </cell>
          <cell r="H143">
            <v>3.8057330431529599</v>
          </cell>
          <cell r="I143">
            <v>5.7748444850454916</v>
          </cell>
          <cell r="J143">
            <v>7.3227629587953489</v>
          </cell>
        </row>
        <row r="144">
          <cell r="A144" t="str">
            <v>CWOD</v>
          </cell>
          <cell r="B144" t="str">
            <v>VAR_fin</v>
          </cell>
          <cell r="C144" t="str">
            <v>CT_CWODETH</v>
          </cell>
          <cell r="E144">
            <v>0.35549498156186554</v>
          </cell>
          <cell r="F144">
            <v>6.0007088055196127E-5</v>
          </cell>
          <cell r="G144">
            <v>0.35549589111405422</v>
          </cell>
          <cell r="H144">
            <v>0.24842636241784211</v>
          </cell>
          <cell r="I144">
            <v>6.9309951289196271E-5</v>
          </cell>
          <cell r="J144">
            <v>3.7864474855212425E-5</v>
          </cell>
        </row>
        <row r="145">
          <cell r="A145" t="str">
            <v>BDS</v>
          </cell>
          <cell r="B145" t="str">
            <v>VAR_fout</v>
          </cell>
          <cell r="C145" t="str">
            <v>IMPBDS1</v>
          </cell>
          <cell r="F145">
            <v>0.71891384123643598</v>
          </cell>
          <cell r="G145">
            <v>8.1216916647015196E-4</v>
          </cell>
          <cell r="H145">
            <v>2.3958577970014427E-4</v>
          </cell>
          <cell r="I145">
            <v>9.477061127276857E-5</v>
          </cell>
          <cell r="J145">
            <v>3.5134394363187809E-5</v>
          </cell>
        </row>
        <row r="146">
          <cell r="A146" t="str">
            <v>BDS</v>
          </cell>
          <cell r="B146" t="str">
            <v>VAR_fout</v>
          </cell>
          <cell r="C146" t="str">
            <v>IMPBDS</v>
          </cell>
          <cell r="E146">
            <v>2.6030290179564557</v>
          </cell>
          <cell r="F146">
            <v>2.296296962495505</v>
          </cell>
          <cell r="G146">
            <v>2.3887774258843608</v>
          </cell>
          <cell r="H146">
            <v>3.0148263166911375</v>
          </cell>
          <cell r="I146">
            <v>3.4114742779197633</v>
          </cell>
          <cell r="J146">
            <v>3.4115898702802858</v>
          </cell>
        </row>
        <row r="147">
          <cell r="A147" t="str">
            <v>BDS</v>
          </cell>
          <cell r="B147" t="str">
            <v>VAR_fout</v>
          </cell>
          <cell r="C147" t="str">
            <v>CT_CWODBDS</v>
          </cell>
          <cell r="E147">
            <v>0.41221315265564534</v>
          </cell>
          <cell r="F147">
            <v>3.0269088072070396E-5</v>
          </cell>
          <cell r="G147">
            <v>0.62589832355785147</v>
          </cell>
          <cell r="H147">
            <v>3.356130343590736E-4</v>
          </cell>
          <cell r="I147">
            <v>2.0188979484626744E-4</v>
          </cell>
          <cell r="J147">
            <v>1.2103972488643068E-4</v>
          </cell>
        </row>
        <row r="148">
          <cell r="A148" t="str">
            <v>BDS</v>
          </cell>
          <cell r="B148" t="str">
            <v>VAR_fin</v>
          </cell>
          <cell r="C148" t="str">
            <v>D-ILFO</v>
          </cell>
          <cell r="G148">
            <v>7.5748967145162872E-5</v>
          </cell>
          <cell r="H148">
            <v>7.7699993835020345E-5</v>
          </cell>
          <cell r="I148">
            <v>0.39636134896996539</v>
          </cell>
          <cell r="J148">
            <v>0.3963819583533586</v>
          </cell>
        </row>
        <row r="149">
          <cell r="A149" t="str">
            <v>BDS</v>
          </cell>
          <cell r="B149" t="str">
            <v>VAR_fin</v>
          </cell>
          <cell r="C149" t="str">
            <v>D-SLFO</v>
          </cell>
          <cell r="G149">
            <v>8.6921910819566745E-5</v>
          </cell>
          <cell r="H149">
            <v>4.2402202924818725E-5</v>
          </cell>
          <cell r="I149">
            <v>8.4934628951119291E-5</v>
          </cell>
          <cell r="J149">
            <v>6.2282186642801377E-5</v>
          </cell>
        </row>
        <row r="150">
          <cell r="A150" t="str">
            <v>BDS</v>
          </cell>
          <cell r="B150" t="str">
            <v>VAR_fin</v>
          </cell>
          <cell r="C150" t="str">
            <v>D-RLFO</v>
          </cell>
          <cell r="G150">
            <v>8.714122485598634E-5</v>
          </cell>
          <cell r="H150">
            <v>4.2752833779816775E-5</v>
          </cell>
          <cell r="I150">
            <v>8.5407267490576107E-5</v>
          </cell>
          <cell r="J150">
            <v>6.2350205541586109E-5</v>
          </cell>
        </row>
        <row r="151">
          <cell r="A151" t="str">
            <v>BDS</v>
          </cell>
          <cell r="B151" t="str">
            <v>VAR_fin</v>
          </cell>
          <cell r="C151" t="str">
            <v>D-TBDS1</v>
          </cell>
          <cell r="E151">
            <v>3.015242170612102</v>
          </cell>
          <cell r="F151">
            <v>3.0152410728200145</v>
          </cell>
          <cell r="G151">
            <v>3.0152410540142869</v>
          </cell>
          <cell r="H151">
            <v>3.015240733540514</v>
          </cell>
          <cell r="I151">
            <v>3.0152412144698473</v>
          </cell>
          <cell r="J151">
            <v>3.015240845277674</v>
          </cell>
        </row>
        <row r="152">
          <cell r="A152" t="str">
            <v>BIO</v>
          </cell>
          <cell r="B152" t="str">
            <v>VAR_fout</v>
          </cell>
          <cell r="C152" t="str">
            <v>SUP_WSTHTGBIO</v>
          </cell>
          <cell r="I152">
            <v>1.8721199459136725E-4</v>
          </cell>
          <cell r="J152">
            <v>2.1731642230806978E-4</v>
          </cell>
        </row>
        <row r="153">
          <cell r="A153" t="str">
            <v>BIO</v>
          </cell>
          <cell r="B153" t="str">
            <v>VAR_fout</v>
          </cell>
          <cell r="C153" t="str">
            <v>SUP_WSTBIO</v>
          </cell>
          <cell r="E153">
            <v>5.6293916013803278</v>
          </cell>
          <cell r="F153">
            <v>5.6371660446833429</v>
          </cell>
          <cell r="G153">
            <v>5.4279781860745011</v>
          </cell>
          <cell r="H153">
            <v>5.6176909514545557</v>
          </cell>
          <cell r="I153">
            <v>5.4446526617341142</v>
          </cell>
          <cell r="J153">
            <v>5.1231993676369862</v>
          </cell>
        </row>
        <row r="154">
          <cell r="A154" t="str">
            <v>BIO</v>
          </cell>
          <cell r="B154" t="str">
            <v>VAR_fout</v>
          </cell>
          <cell r="C154" t="str">
            <v>D-LBIO</v>
          </cell>
          <cell r="H154">
            <v>1.8524859846869073E-4</v>
          </cell>
          <cell r="I154">
            <v>3.6097453471381762E-2</v>
          </cell>
          <cell r="J154">
            <v>2.135282309427978</v>
          </cell>
        </row>
        <row r="155">
          <cell r="A155" t="str">
            <v>BIO</v>
          </cell>
          <cell r="B155" t="str">
            <v>VAR_fout</v>
          </cell>
          <cell r="C155" t="str">
            <v>SUP_MNRBIO</v>
          </cell>
          <cell r="E155">
            <v>1.3280018384090568</v>
          </cell>
          <cell r="F155">
            <v>3.6839634570192143</v>
          </cell>
          <cell r="G155">
            <v>3.6841357721543235</v>
          </cell>
          <cell r="H155">
            <v>5.1544352605130239</v>
          </cell>
          <cell r="I155">
            <v>7.5462354721393021</v>
          </cell>
          <cell r="J155">
            <v>9.4405582957957304</v>
          </cell>
        </row>
        <row r="156">
          <cell r="A156" t="str">
            <v>BIO</v>
          </cell>
          <cell r="B156" t="str">
            <v>VAR_fout</v>
          </cell>
          <cell r="C156" t="str">
            <v>SUP_WODBIO</v>
          </cell>
          <cell r="F156">
            <v>5.014263553963916E-5</v>
          </cell>
          <cell r="G156">
            <v>1.0966805344786112E-4</v>
          </cell>
          <cell r="H156">
            <v>1.2397891646792868E-4</v>
          </cell>
          <cell r="I156">
            <v>2.1734506027504169E-4</v>
          </cell>
          <cell r="J156">
            <v>2.3112396769120076E-4</v>
          </cell>
        </row>
        <row r="157">
          <cell r="A157" t="str">
            <v>BIO</v>
          </cell>
          <cell r="B157" t="str">
            <v>VAR_fin</v>
          </cell>
          <cell r="C157" t="str">
            <v>D-IBIO</v>
          </cell>
          <cell r="E157">
            <v>0.43672591874092204</v>
          </cell>
          <cell r="F157">
            <v>0.5520652427091518</v>
          </cell>
          <cell r="G157">
            <v>2.4035812880047565</v>
          </cell>
          <cell r="H157">
            <v>5.7740959704200439</v>
          </cell>
          <cell r="I157">
            <v>8.2782243240511413</v>
          </cell>
          <cell r="J157">
            <v>9.0481726667279023</v>
          </cell>
        </row>
        <row r="158">
          <cell r="A158" t="str">
            <v>BIO</v>
          </cell>
          <cell r="B158" t="str">
            <v>VAR_fin</v>
          </cell>
          <cell r="C158" t="str">
            <v>D-EBIO</v>
          </cell>
          <cell r="E158">
            <v>1.1839500683485047</v>
          </cell>
          <cell r="F158">
            <v>7.9114402371278266E-5</v>
          </cell>
          <cell r="G158">
            <v>5.3483989002591685E-4</v>
          </cell>
          <cell r="H158">
            <v>3.8144384851658634E-4</v>
          </cell>
          <cell r="I158">
            <v>2.5636217290082495E-4</v>
          </cell>
          <cell r="J158">
            <v>1.4918249457062955E-4</v>
          </cell>
        </row>
        <row r="159">
          <cell r="A159" t="str">
            <v>BIO</v>
          </cell>
          <cell r="B159" t="str">
            <v>VAR_fin</v>
          </cell>
          <cell r="C159" t="str">
            <v>D-CBIO</v>
          </cell>
          <cell r="E159">
            <v>1.2890707004514259</v>
          </cell>
          <cell r="F159">
            <v>4.2975944059828484</v>
          </cell>
          <cell r="G159">
            <v>4.2974062204087691</v>
          </cell>
          <cell r="H159">
            <v>2.6863865685476465</v>
          </cell>
          <cell r="I159">
            <v>3.0851203837134853</v>
          </cell>
          <cell r="J159">
            <v>6.657629453628223</v>
          </cell>
        </row>
        <row r="160">
          <cell r="A160" t="str">
            <v>BIO</v>
          </cell>
          <cell r="B160" t="str">
            <v>VAR_fin</v>
          </cell>
          <cell r="C160" t="str">
            <v>D-SBIO</v>
          </cell>
          <cell r="E160">
            <v>4.0476529705175457</v>
          </cell>
          <cell r="F160">
            <v>4.5833321174705732</v>
          </cell>
          <cell r="G160">
            <v>3.0421420061964355</v>
          </cell>
          <cell r="H160">
            <v>3.0322965969739273</v>
          </cell>
          <cell r="I160">
            <v>2.9495800149155924</v>
          </cell>
          <cell r="J160">
            <v>2.8713306201170341</v>
          </cell>
        </row>
        <row r="161">
          <cell r="A161" t="str">
            <v>EBIO</v>
          </cell>
          <cell r="B161" t="str">
            <v>VAR_fout</v>
          </cell>
          <cell r="C161" t="str">
            <v>D-EBIO</v>
          </cell>
          <cell r="E161">
            <v>1.1839500683485047</v>
          </cell>
          <cell r="F161">
            <v>7.9114402371278266E-5</v>
          </cell>
          <cell r="G161">
            <v>5.3483989002591685E-4</v>
          </cell>
          <cell r="H161">
            <v>3.8144384851658634E-4</v>
          </cell>
          <cell r="I161">
            <v>2.5636217290082495E-4</v>
          </cell>
          <cell r="J161">
            <v>1.4918249457062955E-4</v>
          </cell>
        </row>
        <row r="162">
          <cell r="A162" t="str">
            <v>PLT</v>
          </cell>
          <cell r="B162" t="str">
            <v>VAR_fout</v>
          </cell>
          <cell r="C162" t="str">
            <v>CT_CWODPLT</v>
          </cell>
          <cell r="E162">
            <v>5.9796285856296612</v>
          </cell>
          <cell r="F162">
            <v>6.9696472783407302</v>
          </cell>
          <cell r="G162">
            <v>2.0637909825732237</v>
          </cell>
          <cell r="H162">
            <v>3.1968157562484842</v>
          </cell>
          <cell r="I162">
            <v>4.8508693674382153</v>
          </cell>
          <cell r="J162">
            <v>6.1511208853880905</v>
          </cell>
        </row>
        <row r="163">
          <cell r="A163" t="str">
            <v>SLFO</v>
          </cell>
          <cell r="B163" t="str">
            <v>VAR_fout</v>
          </cell>
          <cell r="C163" t="str">
            <v>D-SLFO</v>
          </cell>
          <cell r="E163">
            <v>30.256634199787158</v>
          </cell>
          <cell r="F163">
            <v>27.088129134858487</v>
          </cell>
          <cell r="G163">
            <v>26.838598004878641</v>
          </cell>
          <cell r="H163">
            <v>19.643117686243265</v>
          </cell>
          <cell r="I163">
            <v>12.245389667935214</v>
          </cell>
          <cell r="J163">
            <v>5.2031954311528414</v>
          </cell>
        </row>
        <row r="164">
          <cell r="A164" t="str">
            <v>ETH</v>
          </cell>
          <cell r="B164" t="str">
            <v>VAR_fout</v>
          </cell>
          <cell r="C164" t="str">
            <v>IMPETH</v>
          </cell>
          <cell r="E164">
            <v>4.4341502097051508</v>
          </cell>
          <cell r="F164">
            <v>4.6289935270399374</v>
          </cell>
          <cell r="G164">
            <v>4.0169641397565883</v>
          </cell>
          <cell r="H164">
            <v>3.3016101274255911</v>
          </cell>
          <cell r="I164">
            <v>2.339894386668175</v>
          </cell>
          <cell r="J164">
            <v>1.7477793272226512</v>
          </cell>
        </row>
        <row r="165">
          <cell r="A165" t="str">
            <v>ETH</v>
          </cell>
          <cell r="B165" t="str">
            <v>VAR_fout</v>
          </cell>
          <cell r="C165" t="str">
            <v>CT_CWODETH</v>
          </cell>
          <cell r="E165">
            <v>0.17009329261333306</v>
          </cell>
          <cell r="F165">
            <v>2.8711525385261338E-5</v>
          </cell>
          <cell r="G165">
            <v>0.17009372780576751</v>
          </cell>
          <cell r="H165">
            <v>0.11886428823820197</v>
          </cell>
          <cell r="I165">
            <v>3.3162656119232667E-5</v>
          </cell>
          <cell r="J165">
            <v>1.8116973614934169E-5</v>
          </cell>
        </row>
        <row r="166">
          <cell r="A166" t="str">
            <v>ETH</v>
          </cell>
          <cell r="B166" t="str">
            <v>VAR_fin</v>
          </cell>
          <cell r="C166" t="str">
            <v>D-TGSL</v>
          </cell>
          <cell r="E166">
            <v>4.6042435023184876</v>
          </cell>
          <cell r="F166">
            <v>4.6290222385653177</v>
          </cell>
          <cell r="G166">
            <v>4.1870578675623547</v>
          </cell>
          <cell r="H166">
            <v>3.4204744614986895</v>
          </cell>
          <cell r="I166">
            <v>2.3399276138963114</v>
          </cell>
          <cell r="J166">
            <v>1.7477974441962658</v>
          </cell>
        </row>
        <row r="167">
          <cell r="A167" t="str">
            <v>TGSL</v>
          </cell>
          <cell r="B167" t="str">
            <v>VAR_fout</v>
          </cell>
          <cell r="C167" t="str">
            <v>D-TGSL</v>
          </cell>
          <cell r="E167">
            <v>82.874471840981812</v>
          </cell>
          <cell r="F167">
            <v>83.320094467789659</v>
          </cell>
          <cell r="G167">
            <v>75.360278406000177</v>
          </cell>
          <cell r="H167">
            <v>61.566037494999215</v>
          </cell>
          <cell r="I167">
            <v>42.114654311290536</v>
          </cell>
          <cell r="J167">
            <v>31.456231621506113</v>
          </cell>
        </row>
        <row r="168">
          <cell r="A168" t="str">
            <v>RLFO</v>
          </cell>
          <cell r="B168" t="str">
            <v>VAR_fout</v>
          </cell>
          <cell r="C168" t="str">
            <v>D-RLFO</v>
          </cell>
          <cell r="E168">
            <v>60.231822344023747</v>
          </cell>
          <cell r="F168">
            <v>51.320002471201079</v>
          </cell>
          <cell r="G168">
            <v>50.152620247942089</v>
          </cell>
          <cell r="H168">
            <v>32.820412576821269</v>
          </cell>
          <cell r="I168">
            <v>17.424065854459247</v>
          </cell>
          <cell r="J168">
            <v>5.7301417538678239</v>
          </cell>
        </row>
        <row r="169">
          <cell r="A169" t="str">
            <v>CELC_E</v>
          </cell>
          <cell r="B169" t="str">
            <v>VAR_fout</v>
          </cell>
          <cell r="C169" t="str">
            <v>ESOL-PV_E</v>
          </cell>
          <cell r="H169">
            <v>1.7232570074990821E-7</v>
          </cell>
          <cell r="I169">
            <v>0.10552248749119486</v>
          </cell>
          <cell r="J169">
            <v>1.0967320003651699</v>
          </cell>
        </row>
        <row r="170">
          <cell r="A170" t="str">
            <v>CELC_E</v>
          </cell>
          <cell r="B170" t="str">
            <v>VAR_fin</v>
          </cell>
          <cell r="C170" t="str">
            <v>SUP_ELCH2_D</v>
          </cell>
          <cell r="H170">
            <v>5.8452507709264996E-8</v>
          </cell>
          <cell r="I170">
            <v>0.10552248749119486</v>
          </cell>
          <cell r="J170">
            <v>1.0967320003651699</v>
          </cell>
        </row>
        <row r="171">
          <cell r="A171" t="str">
            <v>CBIO</v>
          </cell>
          <cell r="B171" t="str">
            <v>VAR_fout</v>
          </cell>
          <cell r="C171" t="str">
            <v>D-CBIO</v>
          </cell>
          <cell r="E171">
            <v>1.2890707004514259</v>
          </cell>
          <cell r="F171">
            <v>4.2975944059828484</v>
          </cell>
          <cell r="G171">
            <v>4.2974062204087691</v>
          </cell>
          <cell r="H171">
            <v>2.6863865685476465</v>
          </cell>
          <cell r="I171">
            <v>3.0851203837134853</v>
          </cell>
          <cell r="J171">
            <v>6.657629453628223</v>
          </cell>
        </row>
        <row r="172">
          <cell r="A172" t="str">
            <v>CBIO</v>
          </cell>
          <cell r="B172" t="str">
            <v>VAR_fin</v>
          </cell>
          <cell r="C172" t="str">
            <v>SUP_BIONGA</v>
          </cell>
          <cell r="E172">
            <v>1.2890707004514259</v>
          </cell>
          <cell r="F172">
            <v>4.2975944059828484</v>
          </cell>
          <cell r="G172">
            <v>4.2974062204087691</v>
          </cell>
          <cell r="H172">
            <v>2.6863865685476465</v>
          </cell>
          <cell r="I172">
            <v>3.0851203837134853</v>
          </cell>
          <cell r="J172">
            <v>6.657629453628223</v>
          </cell>
        </row>
        <row r="173">
          <cell r="A173" t="str">
            <v>LTH</v>
          </cell>
          <cell r="B173" t="str">
            <v>VAR_fout</v>
          </cell>
          <cell r="C173" t="str">
            <v>SUP_WODBIO</v>
          </cell>
          <cell r="F173">
            <v>6.0171162647566978E-6</v>
          </cell>
          <cell r="G173">
            <v>1.3160166413743348E-5</v>
          </cell>
          <cell r="H173">
            <v>1.4877469976151449E-5</v>
          </cell>
          <cell r="I173">
            <v>2.6081407233005025E-5</v>
          </cell>
          <cell r="J173">
            <v>2.7734876122944114E-5</v>
          </cell>
        </row>
        <row r="174">
          <cell r="A174" t="str">
            <v>LTH</v>
          </cell>
          <cell r="B174" t="str">
            <v>VAR_fout</v>
          </cell>
          <cell r="C174" t="str">
            <v>CT_CWODBDS</v>
          </cell>
          <cell r="E174">
            <v>0.16076312953570143</v>
          </cell>
          <cell r="F174">
            <v>1.1804944348107439E-5</v>
          </cell>
          <cell r="G174">
            <v>0.24410034618756146</v>
          </cell>
          <cell r="H174">
            <v>1.3088908340003872E-4</v>
          </cell>
          <cell r="I174">
            <v>7.8737019990044195E-5</v>
          </cell>
          <cell r="J174">
            <v>4.7205492705707897E-5</v>
          </cell>
        </row>
        <row r="175">
          <cell r="A175" t="str">
            <v>LTH</v>
          </cell>
          <cell r="B175" t="str">
            <v>VAR_fin</v>
          </cell>
          <cell r="C175" t="str">
            <v>D-CHEAT</v>
          </cell>
          <cell r="I175">
            <v>6.5512197735296052E-5</v>
          </cell>
          <cell r="J175">
            <v>5.1385434633572951E-5</v>
          </cell>
        </row>
        <row r="176">
          <cell r="A176" t="str">
            <v>LNGA</v>
          </cell>
          <cell r="B176" t="str">
            <v>VAR_fin</v>
          </cell>
          <cell r="C176" t="str">
            <v>D-LNGA</v>
          </cell>
          <cell r="H176">
            <v>3.6980706436653298E-4</v>
          </cell>
          <cell r="I176">
            <v>5.2556895053420974E-4</v>
          </cell>
          <cell r="J176">
            <v>2.7270316881974145E-4</v>
          </cell>
        </row>
        <row r="177">
          <cell r="A177" t="str">
            <v>WHEAT</v>
          </cell>
          <cell r="B177" t="str">
            <v>VAR_fin</v>
          </cell>
          <cell r="C177" t="str">
            <v>D-CHEAT</v>
          </cell>
          <cell r="I177">
            <v>2.5017742637569964E-4</v>
          </cell>
          <cell r="J177">
            <v>1.7946198332835701E-4</v>
          </cell>
        </row>
        <row r="178">
          <cell r="A178" t="str">
            <v>SOL</v>
          </cell>
          <cell r="B178" t="str">
            <v>VAR_fin</v>
          </cell>
          <cell r="C178" t="str">
            <v>ESOL-PV_E</v>
          </cell>
          <cell r="H178">
            <v>1.7232570074990821E-7</v>
          </cell>
          <cell r="I178">
            <v>0.10552248749119486</v>
          </cell>
          <cell r="J178">
            <v>1.0967320003651699</v>
          </cell>
        </row>
        <row r="179">
          <cell r="A179" t="str">
            <v>TKER</v>
          </cell>
          <cell r="B179" t="str">
            <v>VAR_fout</v>
          </cell>
          <cell r="C179" t="str">
            <v>D-TBDS1</v>
          </cell>
          <cell r="H179">
            <v>0.59152734437824706</v>
          </cell>
          <cell r="I179">
            <v>1.77802709897139</v>
          </cell>
          <cell r="J179">
            <v>1.69076485578012</v>
          </cell>
        </row>
        <row r="180">
          <cell r="A180" t="str">
            <v>CELC</v>
          </cell>
          <cell r="B180" t="str">
            <v>VAR_fout</v>
          </cell>
          <cell r="C180" t="str">
            <v>D-CELC</v>
          </cell>
          <cell r="E180">
            <v>0.31267614070688832</v>
          </cell>
          <cell r="F180">
            <v>6.6749813050497285E-3</v>
          </cell>
          <cell r="G180">
            <v>0.64990788514493103</v>
          </cell>
          <cell r="H180">
            <v>0.80668775442000806</v>
          </cell>
          <cell r="I180">
            <v>1.1317936983420889</v>
          </cell>
          <cell r="J180">
            <v>7.9751009273513773</v>
          </cell>
        </row>
        <row r="181">
          <cell r="A181" t="str">
            <v>CELC</v>
          </cell>
          <cell r="B181" t="str">
            <v>VAR_fin</v>
          </cell>
          <cell r="C181" t="str">
            <v>SUP_ELCH2_SOEC</v>
          </cell>
          <cell r="I181">
            <v>2.087245274104514E-3</v>
          </cell>
          <cell r="J181">
            <v>2.0610155108231215E-3</v>
          </cell>
        </row>
        <row r="182">
          <cell r="A182" t="str">
            <v>CELC</v>
          </cell>
          <cell r="B182" t="str">
            <v>VAR_fin</v>
          </cell>
          <cell r="C182" t="str">
            <v>SUP_ELCH2</v>
          </cell>
          <cell r="E182">
            <v>5.0742714589434518E-3</v>
          </cell>
          <cell r="F182">
            <v>6.6256562029340105E-3</v>
          </cell>
          <cell r="G182">
            <v>0.32745421534463215</v>
          </cell>
          <cell r="H182">
            <v>0.61172696159590023</v>
          </cell>
          <cell r="I182">
            <v>1.1296379762096773</v>
          </cell>
          <cell r="J182">
            <v>7.973001787742942</v>
          </cell>
        </row>
        <row r="183">
          <cell r="A183" t="str">
            <v>CELC</v>
          </cell>
          <cell r="B183" t="str">
            <v>VAR_fin</v>
          </cell>
          <cell r="C183" t="str">
            <v>CT_CWODBDS</v>
          </cell>
          <cell r="E183">
            <v>2.8648814109567357E-2</v>
          </cell>
          <cell r="F183">
            <v>2.1037016210088927E-6</v>
          </cell>
          <cell r="G183">
            <v>4.3499933487270652E-2</v>
          </cell>
          <cell r="H183">
            <v>2.3325105887955594E-5</v>
          </cell>
          <cell r="I183">
            <v>1.4031340741815573E-5</v>
          </cell>
          <cell r="J183">
            <v>8.4122608796069253E-6</v>
          </cell>
        </row>
        <row r="184">
          <cell r="A184" t="str">
            <v>CELC</v>
          </cell>
          <cell r="B184" t="str">
            <v>VAR_fin</v>
          </cell>
          <cell r="C184" t="str">
            <v>CT_CWODETH</v>
          </cell>
          <cell r="E184">
            <v>0.27895299988586603</v>
          </cell>
          <cell r="F184">
            <v>4.7086901631828534E-5</v>
          </cell>
          <cell r="G184">
            <v>0.27895371360145887</v>
          </cell>
          <cell r="H184">
            <v>0.19493743271065117</v>
          </cell>
          <cell r="I184">
            <v>5.4386756035541576E-5</v>
          </cell>
          <cell r="J184">
            <v>2.9711836728492032E-5</v>
          </cell>
        </row>
        <row r="185">
          <cell r="A185" t="str">
            <v>SBIO</v>
          </cell>
          <cell r="B185" t="str">
            <v>VAR_fout</v>
          </cell>
          <cell r="C185" t="str">
            <v>D-SBIO</v>
          </cell>
          <cell r="E185">
            <v>4.0476529705175457</v>
          </cell>
          <cell r="F185">
            <v>4.5833321174705732</v>
          </cell>
          <cell r="G185">
            <v>3.0421420061964355</v>
          </cell>
          <cell r="H185">
            <v>3.0322965969739273</v>
          </cell>
          <cell r="I185">
            <v>2.9495800149155924</v>
          </cell>
          <cell r="J185">
            <v>2.8713306201170341</v>
          </cell>
        </row>
        <row r="186">
          <cell r="A186" t="str">
            <v>INGA</v>
          </cell>
          <cell r="B186" t="str">
            <v>VAR_fout</v>
          </cell>
          <cell r="C186" t="str">
            <v>D-INGA</v>
          </cell>
          <cell r="E186">
            <v>37.469639230478691</v>
          </cell>
          <cell r="F186">
            <v>31.90861428794318</v>
          </cell>
          <cell r="G186">
            <v>32.851504872634116</v>
          </cell>
          <cell r="H186">
            <v>31.607660770303184</v>
          </cell>
          <cell r="I186">
            <v>15.896786305771029</v>
          </cell>
          <cell r="J186">
            <v>8.2529876308478016</v>
          </cell>
        </row>
        <row r="187">
          <cell r="A187" t="str">
            <v>WSTREN</v>
          </cell>
          <cell r="B187" t="str">
            <v>VAR_fin</v>
          </cell>
          <cell r="C187" t="str">
            <v>D-CWST</v>
          </cell>
          <cell r="E187">
            <v>9.6793367591733741</v>
          </cell>
          <cell r="F187">
            <v>9.6927043591155311</v>
          </cell>
          <cell r="G187">
            <v>9.3330207782275139</v>
          </cell>
          <cell r="H187">
            <v>9.659218327386716</v>
          </cell>
          <cell r="I187">
            <v>9.3619483384656057</v>
          </cell>
          <cell r="J187">
            <v>8.8092761041991618</v>
          </cell>
        </row>
        <row r="188">
          <cell r="A188" t="str">
            <v>SOLPVC</v>
          </cell>
          <cell r="B188" t="str">
            <v>VAR_fin</v>
          </cell>
          <cell r="C188" t="str">
            <v>ESOL-PV_E</v>
          </cell>
          <cell r="H188">
            <v>1.7232570074990799E-7</v>
          </cell>
          <cell r="I188">
            <v>0.105522487491195</v>
          </cell>
          <cell r="J188">
            <v>1.0967320003651699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1.78560814571967E-2</v>
          </cell>
          <cell r="E4">
            <v>1.7891074451841099E-2</v>
          </cell>
          <cell r="F4">
            <v>1.78294783097032E-2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4.4224450477764465E-3</v>
          </cell>
          <cell r="E5">
            <v>3.5487124059896203E-3</v>
          </cell>
          <cell r="F5">
            <v>2.2174525711277518E-3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3.1659718895738842E-4</v>
          </cell>
          <cell r="E6">
            <v>3.1721763212484195E-4</v>
          </cell>
          <cell r="F6">
            <v>3.1612550194509297E-4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3.5328372013380891</v>
          </cell>
          <cell r="E8">
            <v>4.253773438584979E-2</v>
          </cell>
          <cell r="F8">
            <v>4.3984039235042856E-2</v>
          </cell>
          <cell r="G8">
            <v>4.3125344824629028E-2</v>
          </cell>
          <cell r="H8">
            <v>3.9473291027974103E-2</v>
          </cell>
          <cell r="I8">
            <v>3.7393442706136142E-2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6.4658220470367707E-3</v>
          </cell>
          <cell r="E9">
            <v>7.8144451914699702E-5</v>
          </cell>
          <cell r="F9">
            <v>8.123815787051329E-5</v>
          </cell>
          <cell r="G9">
            <v>8.4144282487773122E-5</v>
          </cell>
          <cell r="H9">
            <v>8.2863536404272938E-5</v>
          </cell>
          <cell r="I9">
            <v>8.5347437392135404E-5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6.2638957470533413E-2</v>
          </cell>
          <cell r="E10">
            <v>7.5421514868528048E-4</v>
          </cell>
          <cell r="F10">
            <v>7.798588516851558E-4</v>
          </cell>
          <cell r="G10">
            <v>7.6463377348633046E-4</v>
          </cell>
          <cell r="H10">
            <v>6.9988104659528543E-4</v>
          </cell>
          <cell r="I10">
            <v>6.6300430330028704E-4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1.5695454555247201E-7</v>
          </cell>
          <cell r="F11">
            <v>2.3587732393691399E-7</v>
          </cell>
          <cell r="G11">
            <v>1.25381821491506E-6</v>
          </cell>
          <cell r="H11">
            <v>7.6595015987386303E-7</v>
          </cell>
          <cell r="I11">
            <v>1.5517850292009801E-6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1.6651855629514845E-6</v>
          </cell>
          <cell r="F12">
            <v>1.6682104640700795E-6</v>
          </cell>
          <cell r="G12">
            <v>1.6717671843022614E-6</v>
          </cell>
          <cell r="H12">
            <v>1.6867710021257401E-6</v>
          </cell>
          <cell r="I12">
            <v>1.6862005782489699E-6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2.1210839240711393E-4</v>
          </cell>
          <cell r="E13">
            <v>1.2599784528843753E-3</v>
          </cell>
          <cell r="F13">
            <v>1.0520501558763202E-3</v>
          </cell>
          <cell r="G13">
            <v>9.4001561418010726E-4</v>
          </cell>
          <cell r="H13">
            <v>4.0276155404177179E-4</v>
          </cell>
          <cell r="I13">
            <v>2.6459797579573348E-4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2.1210839240711393E-4</v>
          </cell>
          <cell r="E14">
            <v>1.2599784528843753E-3</v>
          </cell>
          <cell r="F14">
            <v>1.0520501558763202E-3</v>
          </cell>
          <cell r="G14">
            <v>9.4001561418010726E-4</v>
          </cell>
          <cell r="H14">
            <v>4.0276155404177179E-4</v>
          </cell>
          <cell r="I14">
            <v>2.6459797579573348E-4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1.1069034415443399E-4</v>
          </cell>
          <cell r="F15">
            <v>2.6285037257327801E-5</v>
          </cell>
          <cell r="G15">
            <v>1.70249218302939E-5</v>
          </cell>
          <cell r="H15">
            <v>2.50741322435815E-5</v>
          </cell>
          <cell r="I15">
            <v>2.2229010571637499E-5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2.598324279031842E-5</v>
          </cell>
          <cell r="E16">
            <v>1.3481599199918125E-4</v>
          </cell>
          <cell r="F16">
            <v>1.544294176283067E-4</v>
          </cell>
          <cell r="G16">
            <v>1.4033140519697279E-4</v>
          </cell>
          <cell r="H16">
            <v>5.8884401668189134E-5</v>
          </cell>
          <cell r="I16">
            <v>3.9304192253380501E-5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2.6694201388574156E-3</v>
          </cell>
          <cell r="E17">
            <v>5.573974630325604E-3</v>
          </cell>
          <cell r="F17">
            <v>5.6083639522535285E-3</v>
          </cell>
          <cell r="G17">
            <v>1.5132392046298066E-3</v>
          </cell>
          <cell r="H17">
            <v>1.3832921327194974E-4</v>
          </cell>
          <cell r="I17">
            <v>7.1208049780433112E-5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9.9335479798593404E-3</v>
          </cell>
          <cell r="E18">
            <v>2.0633382168415856E-2</v>
          </cell>
          <cell r="F18">
            <v>2.0725185478294491E-2</v>
          </cell>
          <cell r="G18">
            <v>5.5227342010180421E-3</v>
          </cell>
          <cell r="H18">
            <v>4.424771429473164E-4</v>
          </cell>
          <cell r="I18">
            <v>2.1308760036141991E-4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1.11538234262161E-6</v>
          </cell>
          <cell r="F19">
            <v>4.58293252629965E-6</v>
          </cell>
          <cell r="G19">
            <v>3.0994516234211101E-6</v>
          </cell>
          <cell r="H19">
            <v>1.9809628276007599E-6</v>
          </cell>
          <cell r="I19">
            <v>1.1874544331373001E-6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5.0789338733324489E-5</v>
          </cell>
          <cell r="E20">
            <v>1.0490345060765431E-4</v>
          </cell>
          <cell r="F20">
            <v>1.0694149094537183E-4</v>
          </cell>
          <cell r="G20">
            <v>2.8999990249597668E-5</v>
          </cell>
          <cell r="H20">
            <v>3.0954231935559799E-6</v>
          </cell>
          <cell r="I20">
            <v>1.5350908983604099E-6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4.8703978583752409E-2</v>
          </cell>
          <cell r="E21">
            <v>9.8676048201341501E-2</v>
          </cell>
          <cell r="F21">
            <v>9.5452710120656814E-2</v>
          </cell>
          <cell r="G21">
            <v>7.8163567011162727E-2</v>
          </cell>
          <cell r="H21">
            <v>1.4665189713075303E-3</v>
          </cell>
          <cell r="I21">
            <v>8.6798997687495506E-4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4.8703978583752409E-2</v>
          </cell>
          <cell r="E22">
            <v>9.8676048201341501E-2</v>
          </cell>
          <cell r="F22">
            <v>9.5452710120656814E-2</v>
          </cell>
          <cell r="G22">
            <v>7.8163567011162727E-2</v>
          </cell>
          <cell r="H22">
            <v>1.4665189713075303E-3</v>
          </cell>
          <cell r="I22">
            <v>8.6798997687495506E-4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1.8606049017975701E-5</v>
          </cell>
          <cell r="F23">
            <v>5.3761948890403198E-5</v>
          </cell>
          <cell r="G23">
            <v>3.5689671359617703E-5</v>
          </cell>
          <cell r="H23">
            <v>5.73632105879122E-5</v>
          </cell>
          <cell r="I23">
            <v>4.9164655152912999E-5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4.8854222599222256E-3</v>
          </cell>
          <cell r="E24">
            <v>7.4866701775120423E-3</v>
          </cell>
          <cell r="F24">
            <v>7.2645285482252804E-3</v>
          </cell>
          <cell r="G24">
            <v>5.939782856464659E-3</v>
          </cell>
          <cell r="H24">
            <v>1.3125919357260998E-4</v>
          </cell>
          <cell r="I24">
            <v>8.7984662681932606E-5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10.909032380033064</v>
          </cell>
          <cell r="E25">
            <v>13.878003178099741</v>
          </cell>
          <cell r="F25">
            <v>16.948079155636563</v>
          </cell>
          <cell r="G25">
            <v>27.274312338146686</v>
          </cell>
          <cell r="H25">
            <v>40.395383815265426</v>
          </cell>
          <cell r="I25">
            <v>43.341332161897121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1.7222949980729414E-3</v>
          </cell>
          <cell r="E26">
            <v>6.7097971456133874E-4</v>
          </cell>
          <cell r="F26">
            <v>7.2340019218072762E-4</v>
          </cell>
          <cell r="G26">
            <v>3.8907278722084967E-4</v>
          </cell>
          <cell r="H26">
            <v>0.35772432828638495</v>
          </cell>
          <cell r="I26">
            <v>3.934708973539196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1.7320186638123138</v>
          </cell>
          <cell r="E27">
            <v>0.13762792364876331</v>
          </cell>
          <cell r="F27">
            <v>1.1276296091283999</v>
          </cell>
          <cell r="G27">
            <v>2.7573879885574253</v>
          </cell>
          <cell r="H27">
            <v>10.594069377514863</v>
          </cell>
          <cell r="I27">
            <v>11.998177836175888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1.2172276777777546</v>
          </cell>
          <cell r="E28">
            <v>9.3957809955664121E-2</v>
          </cell>
          <cell r="F28">
            <v>0.60571236690163954</v>
          </cell>
          <cell r="G28">
            <v>1.2008167395902625</v>
          </cell>
          <cell r="H28">
            <v>4.2571687412243202</v>
          </cell>
          <cell r="I28">
            <v>5.665803648981206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7.9580637434449182</v>
          </cell>
          <cell r="E29">
            <v>13.645761713386719</v>
          </cell>
          <cell r="F29">
            <v>15.214024390726566</v>
          </cell>
          <cell r="G29">
            <v>23.315724414605466</v>
          </cell>
          <cell r="H29">
            <v>25.186450218796008</v>
          </cell>
          <cell r="I29">
            <v>21.742657629385352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4.602325883952578E-2</v>
          </cell>
          <cell r="E30">
            <v>0.15558340923939595</v>
          </cell>
          <cell r="F30">
            <v>1.1040906624633113</v>
          </cell>
          <cell r="G30">
            <v>0.98216586002230766</v>
          </cell>
          <cell r="H30">
            <v>0.25862331481552231</v>
          </cell>
          <cell r="I30">
            <v>1.2852864639404213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4.602325883952578E-2</v>
          </cell>
          <cell r="E31">
            <v>0.15558340923939595</v>
          </cell>
          <cell r="F31">
            <v>1.1040906624633113</v>
          </cell>
          <cell r="G31">
            <v>0.98216586002230766</v>
          </cell>
          <cell r="H31">
            <v>0.25862331481552231</v>
          </cell>
          <cell r="I31">
            <v>1.2852864639404213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9.68832444463836E-5</v>
          </cell>
          <cell r="F32">
            <v>6.6669529984194495E-2</v>
          </cell>
          <cell r="G32">
            <v>1.79533183499655E-3</v>
          </cell>
          <cell r="H32">
            <v>1.09357018689424E-2</v>
          </cell>
          <cell r="I32">
            <v>9.6714950756482995E-2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4.0683150971482212E-3</v>
          </cell>
          <cell r="E33">
            <v>1.0698355255343692E-2</v>
          </cell>
          <cell r="F33">
            <v>7.5926126913210504E-2</v>
          </cell>
          <cell r="G33">
            <v>6.7536918705451462E-2</v>
          </cell>
          <cell r="H33">
            <v>1.7789050851575852E-2</v>
          </cell>
          <cell r="I33">
            <v>8.8378958391662404E-2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1.2519761704476115E-5</v>
          </cell>
          <cell r="E34">
            <v>1.9196092968444464E-3</v>
          </cell>
          <cell r="F34">
            <v>1.4606557001510519E-3</v>
          </cell>
          <cell r="G34">
            <v>1.2835436227998322E-3</v>
          </cell>
          <cell r="H34">
            <v>4.0333574242812619E-4</v>
          </cell>
          <cell r="I34">
            <v>2.6622580052639439E-4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1.2519761704476115E-5</v>
          </cell>
          <cell r="E35">
            <v>1.9196092968444464E-3</v>
          </cell>
          <cell r="F35">
            <v>1.4606557001510519E-3</v>
          </cell>
          <cell r="G35">
            <v>1.2835436227998322E-3</v>
          </cell>
          <cell r="H35">
            <v>4.0333574242812619E-4</v>
          </cell>
          <cell r="I35">
            <v>2.6622580052639439E-4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2.06365970760265E-4</v>
          </cell>
          <cell r="F36">
            <v>2.5525607458389898E-5</v>
          </cell>
          <cell r="G36">
            <v>1.6691308851040601E-5</v>
          </cell>
          <cell r="H36">
            <v>2.5477798304749999E-5</v>
          </cell>
          <cell r="I36">
            <v>2.2315260210308601E-5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2.0512813931987837E-4</v>
          </cell>
          <cell r="F37">
            <v>2.1865901305388329E-4</v>
          </cell>
          <cell r="G37">
            <v>1.9339304942183339E-4</v>
          </cell>
          <cell r="H37">
            <v>5.8982488150576912E-5</v>
          </cell>
          <cell r="I37">
            <v>3.9553205787530902E-5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9.020756327459277E-2</v>
          </cell>
          <cell r="E38">
            <v>0.15979829510710952</v>
          </cell>
          <cell r="F38">
            <v>0.15372941429420411</v>
          </cell>
          <cell r="G38">
            <v>0.12353925305043553</v>
          </cell>
          <cell r="H38">
            <v>1.8793403130108362E-3</v>
          </cell>
          <cell r="I38">
            <v>1.1671676247157596E-3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9.020756327459277E-2</v>
          </cell>
          <cell r="E39">
            <v>0.15979829510710952</v>
          </cell>
          <cell r="F39">
            <v>0.15372941429420411</v>
          </cell>
          <cell r="G39">
            <v>0.12353925305043553</v>
          </cell>
          <cell r="H39">
            <v>1.8793403130108362E-3</v>
          </cell>
          <cell r="I39">
            <v>1.1671676247157596E-3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1.27034085351368E-4</v>
          </cell>
          <cell r="F40">
            <v>6.8986424501600395E-5</v>
          </cell>
          <cell r="G40">
            <v>5.2670202353926498E-5</v>
          </cell>
          <cell r="H40">
            <v>6.6981396901517906E-5</v>
          </cell>
          <cell r="I40">
            <v>6.1182557498552E-5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7.2622782181149632E-3</v>
          </cell>
          <cell r="E41">
            <v>1.2583515386174783E-2</v>
          </cell>
          <cell r="F41">
            <v>1.2128471585514781E-2</v>
          </cell>
          <cell r="G41">
            <v>9.7453562526699823E-3</v>
          </cell>
          <cell r="H41">
            <v>1.556364761880417E-4</v>
          </cell>
          <cell r="I41">
            <v>1.05266268945603E-4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3.1377315374041961E-6</v>
          </cell>
          <cell r="E42">
            <v>3.8191875550494476E-4</v>
          </cell>
          <cell r="F42">
            <v>1.1561065142759177E-3</v>
          </cell>
          <cell r="G42">
            <v>1.5882441749987437E-3</v>
          </cell>
          <cell r="H42">
            <v>1.6263795473509509E-3</v>
          </cell>
          <cell r="I42">
            <v>9.0589038110277847E-4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3.1377315374041961E-6</v>
          </cell>
          <cell r="E43">
            <v>3.8191875550494476E-4</v>
          </cell>
          <cell r="F43">
            <v>1.1561065142759177E-3</v>
          </cell>
          <cell r="G43">
            <v>1.5882441749987437E-3</v>
          </cell>
          <cell r="H43">
            <v>1.6263795473509509E-3</v>
          </cell>
          <cell r="I43">
            <v>9.0589038110277847E-4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2.91687251765918E-5</v>
          </cell>
          <cell r="F44">
            <v>7.0825414860654998E-5</v>
          </cell>
          <cell r="G44">
            <v>4.3849769082608803E-5</v>
          </cell>
          <cell r="H44">
            <v>5.8195450954027803E-5</v>
          </cell>
          <cell r="I44">
            <v>4.9891805881239298E-5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2.9030711117757864E-5</v>
          </cell>
          <cell r="F45">
            <v>9.7248470871233919E-5</v>
          </cell>
          <cell r="G45">
            <v>1.2497587684237726E-4</v>
          </cell>
          <cell r="H45">
            <v>1.465440988333763E-4</v>
          </cell>
          <cell r="I45">
            <v>9.1938043365313795E-5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0.22016972158071837</v>
          </cell>
          <cell r="H46">
            <v>0.24502514402278328</v>
          </cell>
          <cell r="I46">
            <v>0.26340051134804593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8.7117810708512575</v>
          </cell>
          <cell r="H47">
            <v>9.7093024450711596</v>
          </cell>
          <cell r="I47">
            <v>10.452565949143464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4.4019927167096001E-5</v>
          </cell>
          <cell r="E48">
            <v>5.4053444956885802E-5</v>
          </cell>
          <cell r="F48">
            <v>8.1080855783686201E-5</v>
          </cell>
          <cell r="G48">
            <v>1.35134389484608E-4</v>
          </cell>
          <cell r="H48">
            <v>1.33434994556691E-4</v>
          </cell>
          <cell r="I48">
            <v>1.28034085868366E-3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2.0938224250322758E-3</v>
          </cell>
          <cell r="E49">
            <v>2.1478758699891619E-3</v>
          </cell>
          <cell r="F49">
            <v>2.2289567257728479E-3</v>
          </cell>
          <cell r="G49">
            <v>2.3640911152574568E-3</v>
          </cell>
          <cell r="H49">
            <v>2.6309761880488319E-3</v>
          </cell>
          <cell r="I49">
            <v>2.8282818099151603E-3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5.574938073398481E-5</v>
          </cell>
          <cell r="E50">
            <v>0.10834195250180227</v>
          </cell>
          <cell r="F50">
            <v>0.58100342566161778</v>
          </cell>
          <cell r="G50">
            <v>4.2997004236360556</v>
          </cell>
          <cell r="H50">
            <v>11.113890221966086</v>
          </cell>
          <cell r="I50">
            <v>9.0939020790459058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5.574938073398481E-5</v>
          </cell>
          <cell r="E51">
            <v>0.10834195250180227</v>
          </cell>
          <cell r="F51">
            <v>0.58100342566161778</v>
          </cell>
          <cell r="G51">
            <v>4.2997004236360556</v>
          </cell>
          <cell r="H51">
            <v>11.113890221966086</v>
          </cell>
          <cell r="I51">
            <v>9.0939020790459058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7.5458822860146497E-3</v>
          </cell>
          <cell r="F52">
            <v>3.33737149711993E-2</v>
          </cell>
          <cell r="G52">
            <v>0.27532785273395599</v>
          </cell>
          <cell r="H52">
            <v>0.25180970655344498</v>
          </cell>
          <cell r="I52">
            <v>0.44116664174365899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7.4494482113343155E-3</v>
          </cell>
          <cell r="F53">
            <v>3.9952583324614988E-2</v>
          </cell>
          <cell r="G53">
            <v>0.29563665698915115</v>
          </cell>
          <cell r="H53">
            <v>0.76416418563104604</v>
          </cell>
          <cell r="I53">
            <v>0.62527601610122696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3.0925532144218952E-3</v>
          </cell>
          <cell r="E54">
            <v>0.38272741683530614</v>
          </cell>
          <cell r="F54">
            <v>0.36161471197427897</v>
          </cell>
          <cell r="G54">
            <v>0.29085153374812306</v>
          </cell>
          <cell r="H54">
            <v>1.9754351326980567E-3</v>
          </cell>
          <cell r="I54">
            <v>1.1923582385025661E-3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3.0925532144218952E-3</v>
          </cell>
          <cell r="E55">
            <v>0.38272741683530614</v>
          </cell>
          <cell r="F55">
            <v>0.36161471197427897</v>
          </cell>
          <cell r="G55">
            <v>0.29085153374812306</v>
          </cell>
          <cell r="H55">
            <v>1.9754351326980567E-3</v>
          </cell>
          <cell r="I55">
            <v>1.1923582385025661E-3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2.9854282536722801E-2</v>
          </cell>
          <cell r="F56">
            <v>6.8670367400149601E-5</v>
          </cell>
          <cell r="G56">
            <v>5.7431160411913102E-5</v>
          </cell>
          <cell r="H56">
            <v>6.92903821392705E-5</v>
          </cell>
          <cell r="I56">
            <v>6.1339298088857895E-5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2.5889969142887297E-4</v>
          </cell>
          <cell r="E57">
            <v>3.0136679682678198E-2</v>
          </cell>
          <cell r="F57">
            <v>2.8491156574595947E-2</v>
          </cell>
          <cell r="G57">
            <v>2.2913225551520294E-2</v>
          </cell>
          <cell r="H57">
            <v>1.6335890799344305E-4</v>
          </cell>
          <cell r="I57">
            <v>1.07654825369515E-4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6.2809068447224582E-6</v>
          </cell>
          <cell r="H58">
            <v>7.6787604784777978E-6</v>
          </cell>
          <cell r="I58">
            <v>7.2362255162884267E-6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2.6795476271079754E-5</v>
          </cell>
          <cell r="H59">
            <v>2.9574185729476424E-5</v>
          </cell>
          <cell r="I59">
            <v>2.4594750197538356E-5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1.43510194954899E-7</v>
          </cell>
          <cell r="H60">
            <v>9.9019069973055098E-8</v>
          </cell>
          <cell r="I60">
            <v>1.297454360236E-7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1.43510194954899E-7</v>
          </cell>
          <cell r="H61">
            <v>1.9580474855516182E-7</v>
          </cell>
          <cell r="I61">
            <v>1.9573128022590001E-7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2.1275434844554843E-4</v>
          </cell>
          <cell r="E62">
            <v>1.1318501780767077E-3</v>
          </cell>
          <cell r="F62">
            <v>9.2130692267455914E-4</v>
          </cell>
          <cell r="G62">
            <v>7.5292887410652798E-4</v>
          </cell>
          <cell r="H62">
            <v>2.6811342204192165E-4</v>
          </cell>
          <cell r="I62">
            <v>1.4062242977929163E-4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2.2000144129910901E-2</v>
          </cell>
          <cell r="E63">
            <v>0.11704046113786459</v>
          </cell>
          <cell r="F63">
            <v>9.5268958001638801E-2</v>
          </cell>
          <cell r="G63">
            <v>7.7857603714993479E-2</v>
          </cell>
          <cell r="H63">
            <v>2.6552722022129122E-2</v>
          </cell>
          <cell r="I63">
            <v>1.267301185527356E-2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2.9810493400963297E-4</v>
          </cell>
          <cell r="E64">
            <v>1.5859141075591397E-3</v>
          </cell>
          <cell r="F64">
            <v>1.2909072899951056E-3</v>
          </cell>
          <cell r="G64">
            <v>1.0549810801489632E-3</v>
          </cell>
          <cell r="H64">
            <v>3.5979298132966239E-4</v>
          </cell>
          <cell r="I64">
            <v>1.7172102784923518E-4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4.1867849679148478E-6</v>
          </cell>
          <cell r="H65">
            <v>5.0082804159717109E-6</v>
          </cell>
          <cell r="I65">
            <v>5.0871543017691952E-6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2.4759003371640299E-5</v>
          </cell>
          <cell r="H66">
            <v>2.6725722290219042E-5</v>
          </cell>
          <cell r="I66">
            <v>2.3926507855679396E-5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8.4153736375493804E-8</v>
          </cell>
          <cell r="H67">
            <v>6.44986469977231E-8</v>
          </cell>
          <cell r="I67">
            <v>8.2190854952872398E-8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8.4153736375493804E-8</v>
          </cell>
          <cell r="H68">
            <v>1.3201040285533599E-7</v>
          </cell>
          <cell r="I68">
            <v>1.2376907269858301E-7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6.0307947708467697</v>
          </cell>
          <cell r="E69">
            <v>10.920543722262821</v>
          </cell>
          <cell r="F69">
            <v>11.80594318976495</v>
          </cell>
          <cell r="G69">
            <v>9.115459570685676</v>
          </cell>
          <cell r="H69">
            <v>0.11452927895367998</v>
          </cell>
          <cell r="I69">
            <v>4.7773572078254271E-2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4.7888117455615324E-2</v>
          </cell>
          <cell r="E70">
            <v>8.6715648653631072E-2</v>
          </cell>
          <cell r="F70">
            <v>9.3746249976668403E-2</v>
          </cell>
          <cell r="G70">
            <v>7.23822008822258E-2</v>
          </cell>
          <cell r="H70">
            <v>9.5162308859848626E-4</v>
          </cell>
          <cell r="I70">
            <v>4.4893631545837306E-4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8.1718086325836978E-2</v>
          </cell>
          <cell r="E71">
            <v>0.14797484718513346</v>
          </cell>
          <cell r="F71">
            <v>0.15997212994261453</v>
          </cell>
          <cell r="G71">
            <v>0.12351571233991429</v>
          </cell>
          <cell r="H71">
            <v>1.5518872486948495E-3</v>
          </cell>
          <cell r="I71">
            <v>6.473383750440966E-4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1.1620344108633998E-5</v>
          </cell>
          <cell r="H72">
            <v>5.779494764958746E-6</v>
          </cell>
          <cell r="I72">
            <v>6.3284177766988745E-6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1.0273635728969977E-4</v>
          </cell>
          <cell r="H73">
            <v>4.5648203218656056E-5</v>
          </cell>
          <cell r="I73">
            <v>4.4418812772697297E-5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2.1222190190343101E-7</v>
          </cell>
          <cell r="H74">
            <v>6.6786811948566301E-8</v>
          </cell>
          <cell r="I74">
            <v>8.61250407955578E-8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2.1222190190343101E-7</v>
          </cell>
          <cell r="H75">
            <v>1.06083194681589E-7</v>
          </cell>
          <cell r="I75">
            <v>1.0900094289026099E-7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1.7844451371729978E-4</v>
          </cell>
          <cell r="F76">
            <v>1.732682893487605E-4</v>
          </cell>
          <cell r="G76">
            <v>6.7906635309283566E-4</v>
          </cell>
          <cell r="H76">
            <v>6.5200389615897077E-4</v>
          </cell>
          <cell r="I76">
            <v>5.9652709717391715E-4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1.7844451371729973E-4</v>
          </cell>
          <cell r="F77">
            <v>1.732682893487605E-4</v>
          </cell>
          <cell r="G77">
            <v>6.7906635309283566E-4</v>
          </cell>
          <cell r="H77">
            <v>6.5200389615897077E-4</v>
          </cell>
          <cell r="I77">
            <v>5.9652709717391704E-4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1.7965066449877269E-4</v>
          </cell>
          <cell r="F78">
            <v>1.7626504600167805E-4</v>
          </cell>
          <cell r="G78">
            <v>6.8217339622985058E-4</v>
          </cell>
          <cell r="H78">
            <v>6.5374171762209966E-4</v>
          </cell>
          <cell r="I78">
            <v>5.9789861040073866E-4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1.7965066449877269E-4</v>
          </cell>
          <cell r="F79">
            <v>1.7626504600167805E-4</v>
          </cell>
          <cell r="G79">
            <v>6.8217339622985058E-4</v>
          </cell>
          <cell r="H79">
            <v>6.5374171762209966E-4</v>
          </cell>
          <cell r="I79">
            <v>5.9789861040073866E-4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1.47887396277628E-2</v>
          </cell>
          <cell r="F80">
            <v>2.3748750228684001E-3</v>
          </cell>
          <cell r="G80">
            <v>1.5181629148111799E-3</v>
          </cell>
          <cell r="H80">
            <v>2.1839909076560599E-3</v>
          </cell>
          <cell r="I80">
            <v>1.8363792444962899E-3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1.47887396277628E-2</v>
          </cell>
          <cell r="F81">
            <v>1.7158185449542587E-2</v>
          </cell>
          <cell r="G81">
            <v>1.8667671429512124E-2</v>
          </cell>
          <cell r="H81">
            <v>6.3239951976736949E-3</v>
          </cell>
          <cell r="I81">
            <v>4.5549783682876299E-3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6.2260230591080203</v>
          </cell>
          <cell r="E82">
            <v>17.70861288249408</v>
          </cell>
          <cell r="F82">
            <v>120.7054315452279</v>
          </cell>
          <cell r="G82">
            <v>93.694287045994457</v>
          </cell>
          <cell r="H82">
            <v>19.726871165822512</v>
          </cell>
          <cell r="I82">
            <v>63.358618225812414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4.6023347787187037E-2</v>
          </cell>
          <cell r="E83">
            <v>0.13090373128756916</v>
          </cell>
          <cell r="F83">
            <v>0.89226589800076883</v>
          </cell>
          <cell r="G83">
            <v>0.69259697843266921</v>
          </cell>
          <cell r="H83">
            <v>0.15449288055029706</v>
          </cell>
          <cell r="I83">
            <v>0.58772166775054901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8.4363456085474589E-2</v>
          </cell>
          <cell r="E84">
            <v>0.23995410409883597</v>
          </cell>
          <cell r="F84">
            <v>1.635574953187368</v>
          </cell>
          <cell r="G84">
            <v>1.2695702851760766</v>
          </cell>
          <cell r="H84">
            <v>0.26730177731466759</v>
          </cell>
          <cell r="I84">
            <v>0.85851786213837888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6.2660989283670494E-8</v>
          </cell>
          <cell r="I85">
            <v>1.8389171342141261E-7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7.6850777131724905E-7</v>
          </cell>
          <cell r="I86">
            <v>2.1094500356127792E-6</v>
          </cell>
        </row>
        <row r="87">
          <cell r="A87" t="str">
            <v>T-PHEV-STG_S2</v>
          </cell>
          <cell r="B87" t="str">
            <v>VAR_fout</v>
          </cell>
          <cell r="C87" t="str">
            <v>T-ELC-car-PlgSTGAUXout_S2</v>
          </cell>
          <cell r="D87">
            <v>5.4243123007225358E-4</v>
          </cell>
          <cell r="E87">
            <v>7.9872601440190028E-3</v>
          </cell>
          <cell r="F87">
            <v>1.2394525622309986E-3</v>
          </cell>
          <cell r="G87">
            <v>4.0574812174584271E-3</v>
          </cell>
          <cell r="H87">
            <v>1.2461218451528327E-3</v>
          </cell>
          <cell r="I87">
            <v>9.5609387942566237E-4</v>
          </cell>
        </row>
        <row r="88">
          <cell r="A88" t="str">
            <v>T-PHEV-STG_S2</v>
          </cell>
          <cell r="B88" t="str">
            <v>VAR_fout</v>
          </cell>
          <cell r="C88" t="str">
            <v>T-ELC-car-PlgSTGOut_S2</v>
          </cell>
          <cell r="D88">
            <v>5.4243123007225347E-4</v>
          </cell>
          <cell r="E88">
            <v>7.9872601440190028E-3</v>
          </cell>
          <cell r="F88">
            <v>1.2394525622309983E-3</v>
          </cell>
          <cell r="G88">
            <v>4.0574812174584271E-3</v>
          </cell>
          <cell r="H88">
            <v>1.2461218451528323E-3</v>
          </cell>
          <cell r="I88">
            <v>9.5609387942566237E-4</v>
          </cell>
        </row>
        <row r="89">
          <cell r="A89" t="str">
            <v>T-PHEV-STG_S2</v>
          </cell>
          <cell r="B89" t="str">
            <v>VAR_fin</v>
          </cell>
          <cell r="C89" t="str">
            <v>T-ELC-car-PlgSTGAUXin_S2</v>
          </cell>
          <cell r="D89">
            <v>5.4301592099437255E-4</v>
          </cell>
          <cell r="E89">
            <v>7.9907646499259143E-3</v>
          </cell>
          <cell r="F89">
            <v>1.2431540565654205E-3</v>
          </cell>
          <cell r="G89">
            <v>4.0622981170875695E-3</v>
          </cell>
          <cell r="H89">
            <v>1.2487717898109051E-3</v>
          </cell>
          <cell r="I89">
            <v>9.5881320747796014E-4</v>
          </cell>
        </row>
        <row r="90">
          <cell r="A90" t="str">
            <v>T-PHEV-STG_S2</v>
          </cell>
          <cell r="B90" t="str">
            <v>VAR_fin</v>
          </cell>
          <cell r="C90" t="str">
            <v>T-ELC-car-PlgSTGin_S2</v>
          </cell>
          <cell r="D90">
            <v>5.4301592099437255E-4</v>
          </cell>
          <cell r="E90">
            <v>7.9907646499259143E-3</v>
          </cell>
          <cell r="F90">
            <v>1.2431540565654205E-3</v>
          </cell>
          <cell r="G90">
            <v>4.0622981170875695E-3</v>
          </cell>
          <cell r="H90">
            <v>1.2487717898109051E-3</v>
          </cell>
          <cell r="I90">
            <v>9.5881320747796014E-4</v>
          </cell>
        </row>
        <row r="91">
          <cell r="A91" t="str">
            <v>T-PHEV-STG_S2</v>
          </cell>
          <cell r="B91" t="str">
            <v>VAR_ncap</v>
          </cell>
          <cell r="C91" t="str">
            <v>-</v>
          </cell>
          <cell r="D91">
            <v>1.06312553011268E-2</v>
          </cell>
          <cell r="E91">
            <v>1.0526774901422099E-2</v>
          </cell>
          <cell r="F91">
            <v>1.2029707935429E-2</v>
          </cell>
          <cell r="G91">
            <v>1.0962810365822801E-2</v>
          </cell>
          <cell r="H91">
            <v>5.5663310414535601E-3</v>
          </cell>
          <cell r="I91">
            <v>4.0063372266506102E-3</v>
          </cell>
        </row>
        <row r="92">
          <cell r="A92" t="str">
            <v>T-PHEV-STG_S2</v>
          </cell>
          <cell r="B92" t="str">
            <v>VAR_cap</v>
          </cell>
          <cell r="C92" t="str">
            <v>-</v>
          </cell>
          <cell r="D92">
            <v>1.06312553011268E-2</v>
          </cell>
          <cell r="E92">
            <v>2.1156069683104552E-2</v>
          </cell>
          <cell r="F92">
            <v>3.3180440447267326E-2</v>
          </cell>
          <cell r="G92">
            <v>4.4133861820069745E-2</v>
          </cell>
          <cell r="H92">
            <v>2.3599398417950095E-2</v>
          </cell>
          <cell r="I92">
            <v>1.1605473352667858E-2</v>
          </cell>
        </row>
        <row r="93">
          <cell r="A93" t="str">
            <v>T-Plg-GSL-mix_S4</v>
          </cell>
          <cell r="B93" t="str">
            <v>VAR_fout</v>
          </cell>
          <cell r="C93" t="str">
            <v>CO2_T</v>
          </cell>
          <cell r="D93">
            <v>12.808552874295099</v>
          </cell>
          <cell r="E93">
            <v>19.333833993738388</v>
          </cell>
          <cell r="F93">
            <v>17.91963110405273</v>
          </cell>
          <cell r="G93">
            <v>12.829504606515099</v>
          </cell>
          <cell r="H93">
            <v>0.15593487800762296</v>
          </cell>
          <cell r="I93">
            <v>6.4664706467025101E-2</v>
          </cell>
        </row>
        <row r="94">
          <cell r="A94" t="str">
            <v>T-Plg-GSL-mix_S4</v>
          </cell>
          <cell r="B94" t="str">
            <v>VAR_fout</v>
          </cell>
          <cell r="C94" t="str">
            <v>T-PEVmix-ELC_GSL_S4</v>
          </cell>
          <cell r="D94">
            <v>9.020756327459277E-2</v>
          </cell>
          <cell r="E94">
            <v>0.13616355184282364</v>
          </cell>
          <cell r="F94">
            <v>0.12620366036199548</v>
          </cell>
          <cell r="G94">
            <v>9.0355121295276203E-2</v>
          </cell>
          <cell r="H94">
            <v>1.1479383662673617E-3</v>
          </cell>
          <cell r="I94">
            <v>5.3755387656534285E-4</v>
          </cell>
        </row>
        <row r="95">
          <cell r="A95" t="str">
            <v>T-Plg-GSL-mix_S4</v>
          </cell>
          <cell r="B95" t="str">
            <v>VAR_fin</v>
          </cell>
          <cell r="C95" t="str">
            <v>TGSL</v>
          </cell>
          <cell r="D95">
            <v>0.1735576270229687</v>
          </cell>
          <cell r="E95">
            <v>0.2619760703758589</v>
          </cell>
          <cell r="F95">
            <v>0.24281342959421054</v>
          </cell>
          <cell r="G95">
            <v>0.17384152583353807</v>
          </cell>
          <cell r="H95">
            <v>2.1129387263905579E-3</v>
          </cell>
          <cell r="I95">
            <v>8.7621553478353913E-4</v>
          </cell>
        </row>
        <row r="96">
          <cell r="A96" t="str">
            <v>T-PHEV-STG_S3</v>
          </cell>
          <cell r="B96" t="str">
            <v>VAR_fout</v>
          </cell>
          <cell r="C96" t="str">
            <v>T-ELC-car-PlgSTGAUXout_S3</v>
          </cell>
          <cell r="E96">
            <v>2.9876124165124182E-2</v>
          </cell>
          <cell r="F96">
            <v>0.23072799178237577</v>
          </cell>
          <cell r="G96">
            <v>1.1158057998988984</v>
          </cell>
          <cell r="H96">
            <v>2.9806694046356692</v>
          </cell>
          <cell r="I96">
            <v>3.7864351542655945</v>
          </cell>
        </row>
        <row r="97">
          <cell r="A97" t="str">
            <v>T-PHEV-STG_S3</v>
          </cell>
          <cell r="B97" t="str">
            <v>VAR_fout</v>
          </cell>
          <cell r="C97" t="str">
            <v>T-ELC-car-PlgSTGOut_S3</v>
          </cell>
          <cell r="E97">
            <v>2.9876124165124168E-2</v>
          </cell>
          <cell r="F97">
            <v>0.23072799178237574</v>
          </cell>
          <cell r="G97">
            <v>1.1158057998988984</v>
          </cell>
          <cell r="H97">
            <v>2.9806694046356688</v>
          </cell>
          <cell r="I97">
            <v>3.7864351542655941</v>
          </cell>
        </row>
        <row r="98">
          <cell r="A98" t="str">
            <v>T-PHEV-STG_S3</v>
          </cell>
          <cell r="B98" t="str">
            <v>VAR_fin</v>
          </cell>
          <cell r="C98" t="str">
            <v>T-ELC-car-PlgSTGAUXin_S3</v>
          </cell>
          <cell r="E98">
            <v>2.9880115894472963E-2</v>
          </cell>
          <cell r="F98">
            <v>0.23075337903275484</v>
          </cell>
          <cell r="G98">
            <v>1.1159210374997959</v>
          </cell>
          <cell r="H98">
            <v>2.9809693816585137</v>
          </cell>
          <cell r="I98">
            <v>3.7868159318733361</v>
          </cell>
        </row>
        <row r="99">
          <cell r="A99" t="str">
            <v>T-PHEV-STG_S3</v>
          </cell>
          <cell r="B99" t="str">
            <v>VAR_fin</v>
          </cell>
          <cell r="C99" t="str">
            <v>T-ELC-car-PlgSTGin_S3</v>
          </cell>
          <cell r="E99">
            <v>2.9880115894472963E-2</v>
          </cell>
          <cell r="F99">
            <v>0.23075337903275484</v>
          </cell>
          <cell r="G99">
            <v>1.1159210374997959</v>
          </cell>
          <cell r="H99">
            <v>2.9809693816585137</v>
          </cell>
          <cell r="I99">
            <v>3.7868159318733361</v>
          </cell>
        </row>
        <row r="100">
          <cell r="A100" t="str">
            <v>T-PHEV-STG_S3</v>
          </cell>
          <cell r="B100" t="str">
            <v>VAR_ncap</v>
          </cell>
          <cell r="C100" t="str">
            <v>-</v>
          </cell>
          <cell r="E100">
            <v>0.67895143170538497</v>
          </cell>
          <cell r="F100">
            <v>8.7692419352636204</v>
          </cell>
          <cell r="G100">
            <v>23.741607584196299</v>
          </cell>
          <cell r="H100">
            <v>21.505750449464099</v>
          </cell>
          <cell r="I100">
            <v>42.046065534943402</v>
          </cell>
        </row>
        <row r="101">
          <cell r="A101" t="str">
            <v>T-PHEV-STG_S3</v>
          </cell>
          <cell r="B101" t="str">
            <v>VAR_cap</v>
          </cell>
          <cell r="C101" t="str">
            <v>-</v>
          </cell>
          <cell r="E101">
            <v>0.67895143170538497</v>
          </cell>
          <cell r="F101">
            <v>9.4478811186707592</v>
          </cell>
          <cell r="G101">
            <v>33.158509322474984</v>
          </cell>
          <cell r="H101">
            <v>42.069564841575598</v>
          </cell>
          <cell r="I101">
            <v>53.781649309144704</v>
          </cell>
        </row>
        <row r="102">
          <cell r="A102" t="str">
            <v>TFLGV-HYBDSL</v>
          </cell>
          <cell r="B102" t="str">
            <v>VAR_fout</v>
          </cell>
          <cell r="C102" t="str">
            <v>CO2_T</v>
          </cell>
          <cell r="E102">
            <v>32.511767317305001</v>
          </cell>
          <cell r="F102">
            <v>97.552834205557303</v>
          </cell>
          <cell r="G102">
            <v>276.98686246048817</v>
          </cell>
          <cell r="H102">
            <v>222.41816069360749</v>
          </cell>
          <cell r="I102">
            <v>271.46593401151767</v>
          </cell>
        </row>
        <row r="103">
          <cell r="A103" t="str">
            <v>TFLGV-HYBDSL</v>
          </cell>
          <cell r="B103" t="str">
            <v>VAR_fout</v>
          </cell>
          <cell r="C103" t="str">
            <v>TFLGV</v>
          </cell>
          <cell r="E103">
            <v>0.20437065156177428</v>
          </cell>
          <cell r="F103">
            <v>0.61322216333886181</v>
          </cell>
          <cell r="G103">
            <v>1.7411537491218112</v>
          </cell>
          <cell r="H103">
            <v>1.3981320663527643</v>
          </cell>
          <cell r="I103">
            <v>1.7064489072308691</v>
          </cell>
        </row>
        <row r="104">
          <cell r="A104" t="str">
            <v>TFLGV-HYBDSL</v>
          </cell>
          <cell r="B104" t="str">
            <v>VAR_fin</v>
          </cell>
          <cell r="C104" t="str">
            <v>TDSL</v>
          </cell>
          <cell r="E104">
            <v>0.44354389245982301</v>
          </cell>
          <cell r="F104">
            <v>1.3308708622859118</v>
          </cell>
          <cell r="G104">
            <v>3.7788112204705135</v>
          </cell>
          <cell r="H104">
            <v>3.0343541704448542</v>
          </cell>
          <cell r="I104">
            <v>3.7034915963372135</v>
          </cell>
        </row>
        <row r="105">
          <cell r="A105" t="str">
            <v>TFLGV-HYBDSL</v>
          </cell>
          <cell r="B105" t="str">
            <v>VAR_ncap</v>
          </cell>
          <cell r="C105" t="str">
            <v>-</v>
          </cell>
          <cell r="E105">
            <v>1.42452623307952E-2</v>
          </cell>
          <cell r="F105">
            <v>4.0692316016457501E-2</v>
          </cell>
          <cell r="G105">
            <v>9.7599098335647699E-2</v>
          </cell>
          <cell r="H105">
            <v>1.6924584036954601E-5</v>
          </cell>
          <cell r="I105">
            <v>0.12300811507067699</v>
          </cell>
        </row>
        <row r="106">
          <cell r="A106" t="str">
            <v>TFLGV-HYBDSL</v>
          </cell>
          <cell r="B106" t="str">
            <v>VAR_cap</v>
          </cell>
          <cell r="C106" t="str">
            <v>-</v>
          </cell>
          <cell r="E106">
            <v>1.42452623307952E-2</v>
          </cell>
          <cell r="F106">
            <v>5.49375783472527E-2</v>
          </cell>
          <cell r="G106">
            <v>0.15064924454615999</v>
          </cell>
          <cell r="H106">
            <v>0.11052653067461421</v>
          </cell>
          <cell r="I106">
            <v>0.13937612024089732</v>
          </cell>
        </row>
        <row r="107">
          <cell r="A107" t="str">
            <v>TFHGV-FCLH2O</v>
          </cell>
          <cell r="B107" t="str">
            <v>VAR_fout</v>
          </cell>
          <cell r="C107" t="str">
            <v>TFHGV</v>
          </cell>
          <cell r="D107">
            <v>4.6116716739615186E-4</v>
          </cell>
          <cell r="E107">
            <v>1.8438522333082697E-4</v>
          </cell>
          <cell r="F107">
            <v>1.7606593658655616E-4</v>
          </cell>
          <cell r="G107">
            <v>3.7308369391927232E-5</v>
          </cell>
          <cell r="H107">
            <v>1.6295098649124994E-4</v>
          </cell>
          <cell r="I107">
            <v>1.6740399000483264E-4</v>
          </cell>
        </row>
        <row r="108">
          <cell r="A108" t="str">
            <v>TFHGV-FCLH2O</v>
          </cell>
          <cell r="B108" t="str">
            <v>VAR_fin</v>
          </cell>
          <cell r="C108" t="str">
            <v>TH2O</v>
          </cell>
          <cell r="D108">
            <v>2.6434169507568031E-3</v>
          </cell>
          <cell r="E108">
            <v>1.0531996091400573E-3</v>
          </cell>
          <cell r="F108">
            <v>1.0050864757491517E-3</v>
          </cell>
          <cell r="G108">
            <v>2.1060147217644151E-4</v>
          </cell>
          <cell r="H108">
            <v>8.0611120556584091E-4</v>
          </cell>
          <cell r="I108">
            <v>7.7402157414537876E-4</v>
          </cell>
        </row>
        <row r="109">
          <cell r="A109" t="str">
            <v>TFHGV-FCLH2O</v>
          </cell>
          <cell r="B109" t="str">
            <v>VAR_ncap</v>
          </cell>
          <cell r="C109" t="str">
            <v>-</v>
          </cell>
          <cell r="E109">
            <v>8.61748204497001E-8</v>
          </cell>
          <cell r="F109">
            <v>8.3239466851500998E-8</v>
          </cell>
          <cell r="G109">
            <v>1.11856150357447E-7</v>
          </cell>
          <cell r="H109">
            <v>3.5299130654671202E-6</v>
          </cell>
          <cell r="I109">
            <v>3.5146912879249801E-6</v>
          </cell>
        </row>
        <row r="110">
          <cell r="A110" t="str">
            <v>TFHGV-FCLH2O</v>
          </cell>
          <cell r="B110" t="str">
            <v>VAR_cap</v>
          </cell>
          <cell r="C110" t="str">
            <v>-</v>
          </cell>
          <cell r="D110">
            <v>1.0576140286729301E-5</v>
          </cell>
          <cell r="E110">
            <v>3.5308739648101984E-6</v>
          </cell>
          <cell r="F110">
            <v>3.6039765819512987E-6</v>
          </cell>
          <cell r="G110">
            <v>7.7936550532210145E-7</v>
          </cell>
          <cell r="H110">
            <v>4.0372507658011198E-6</v>
          </cell>
          <cell r="I110">
            <v>4.1341509181241397E-6</v>
          </cell>
        </row>
        <row r="111">
          <cell r="A111" t="str">
            <v>T-PHEV-STG_S4</v>
          </cell>
          <cell r="B111" t="str">
            <v>VAR_fout</v>
          </cell>
          <cell r="C111" t="str">
            <v>T-ELC-car-PlgSTGAUXout_S4</v>
          </cell>
          <cell r="E111">
            <v>5.9906592273812731E-2</v>
          </cell>
          <cell r="F111">
            <v>6.8890130155478888E-2</v>
          </cell>
          <cell r="G111">
            <v>7.1073109706152507E-2</v>
          </cell>
          <cell r="H111">
            <v>2.1342125264551832E-3</v>
          </cell>
          <cell r="I111">
            <v>2.2434018971080306E-3</v>
          </cell>
        </row>
        <row r="112">
          <cell r="A112" t="str">
            <v>T-PHEV-STG_S4</v>
          </cell>
          <cell r="B112" t="str">
            <v>VAR_fout</v>
          </cell>
          <cell r="C112" t="str">
            <v>T-ELC-car-PlgSTGOut_S4</v>
          </cell>
          <cell r="E112">
            <v>5.9906592273812724E-2</v>
          </cell>
          <cell r="F112">
            <v>6.8890130155478874E-2</v>
          </cell>
          <cell r="G112">
            <v>7.1073109706152479E-2</v>
          </cell>
          <cell r="H112">
            <v>2.1342125264551827E-3</v>
          </cell>
          <cell r="I112">
            <v>2.2434018971080301E-3</v>
          </cell>
        </row>
        <row r="113">
          <cell r="A113" t="str">
            <v>T-PHEV-STG_S4</v>
          </cell>
          <cell r="B113" t="str">
            <v>VAR_fin</v>
          </cell>
          <cell r="C113" t="str">
            <v>T-ELC-car-PlgSTGAUXin_S4</v>
          </cell>
          <cell r="E113">
            <v>5.9913561802477831E-2</v>
          </cell>
          <cell r="F113">
            <v>6.889933200110944E-2</v>
          </cell>
          <cell r="G113">
            <v>7.1083664079152897E-2</v>
          </cell>
          <cell r="H113">
            <v>2.136306293908939E-3</v>
          </cell>
          <cell r="I113">
            <v>2.2450474354977512E-3</v>
          </cell>
        </row>
        <row r="114">
          <cell r="A114" t="str">
            <v>T-PHEV-STG_S4</v>
          </cell>
          <cell r="B114" t="str">
            <v>VAR_fin</v>
          </cell>
          <cell r="C114" t="str">
            <v>T-ELC-car-PlgSTGin_S4</v>
          </cell>
          <cell r="E114">
            <v>5.9913561802477831E-2</v>
          </cell>
          <cell r="F114">
            <v>6.889933200110944E-2</v>
          </cell>
          <cell r="G114">
            <v>7.1083664079152897E-2</v>
          </cell>
          <cell r="H114">
            <v>2.136306293908939E-3</v>
          </cell>
          <cell r="I114">
            <v>2.2450474354977512E-3</v>
          </cell>
        </row>
        <row r="115">
          <cell r="A115" t="str">
            <v>T-PHEV-STG_S4</v>
          </cell>
          <cell r="B115" t="str">
            <v>VAR_ncap</v>
          </cell>
          <cell r="C115" t="str">
            <v>-</v>
          </cell>
          <cell r="E115">
            <v>2.6792086138895499</v>
          </cell>
          <cell r="F115">
            <v>1.21446859662555E-2</v>
          </cell>
          <cell r="G115">
            <v>9.4991292500506506E-3</v>
          </cell>
          <cell r="H115">
            <v>1.12510455968171E-2</v>
          </cell>
          <cell r="I115">
            <v>9.6729540567710593E-3</v>
          </cell>
        </row>
        <row r="116">
          <cell r="A116" t="str">
            <v>T-PHEV-STG_S4</v>
          </cell>
          <cell r="B116" t="str">
            <v>VAR_cap</v>
          </cell>
          <cell r="C116" t="str">
            <v>-</v>
          </cell>
          <cell r="E116">
            <v>2.6792086138895499</v>
          </cell>
          <cell r="F116">
            <v>2.6913477468081335</v>
          </cell>
          <cell r="G116">
            <v>2.7008387928064583</v>
          </cell>
          <cell r="H116">
            <v>3.3199445816510853E-2</v>
          </cell>
          <cell r="I116">
            <v>2.3459416541045223E-2</v>
          </cell>
        </row>
        <row r="117">
          <cell r="A117" t="str">
            <v>TFLGV-ICEGSLExt</v>
          </cell>
          <cell r="B117" t="str">
            <v>VAR_fout</v>
          </cell>
          <cell r="C117" t="str">
            <v>CO2_T</v>
          </cell>
          <cell r="D117">
            <v>61.386422674932099</v>
          </cell>
          <cell r="E117">
            <v>129.00636882339199</v>
          </cell>
          <cell r="F117">
            <v>40.106536026123202</v>
          </cell>
          <cell r="G117">
            <v>19.9950191923127</v>
          </cell>
        </row>
        <row r="118">
          <cell r="A118" t="str">
            <v>TFLGV-ICEGSLExt</v>
          </cell>
          <cell r="B118" t="str">
            <v>VAR_fout</v>
          </cell>
          <cell r="C118" t="str">
            <v>TFLGV</v>
          </cell>
          <cell r="D118">
            <v>0.23089218277368781</v>
          </cell>
          <cell r="E118">
            <v>0.4897528222487379</v>
          </cell>
          <cell r="F118">
            <v>0.15436721334174927</v>
          </cell>
          <cell r="G118">
            <v>7.6959411090044852E-2</v>
          </cell>
        </row>
        <row r="119">
          <cell r="A119" t="str">
            <v>TFLGV-ICEGSLExt</v>
          </cell>
          <cell r="B119" t="str">
            <v>VAR_fin</v>
          </cell>
          <cell r="C119" t="str">
            <v>TGSL</v>
          </cell>
          <cell r="D119">
            <v>0.8317943451887817</v>
          </cell>
          <cell r="E119">
            <v>1.7480537780947487</v>
          </cell>
          <cell r="F119">
            <v>0.54344899764394639</v>
          </cell>
          <cell r="G119">
            <v>0.27093521940803167</v>
          </cell>
        </row>
        <row r="120">
          <cell r="A120" t="str">
            <v>TFLGV-ICEGSLExt</v>
          </cell>
          <cell r="B120" t="str">
            <v>VAR_cap</v>
          </cell>
          <cell r="C120" t="str">
            <v>-</v>
          </cell>
          <cell r="D120">
            <v>4.5952E-2</v>
          </cell>
          <cell r="E120">
            <v>3.98250666666667E-2</v>
          </cell>
          <cell r="F120">
            <v>3.0634666666666699E-2</v>
          </cell>
          <cell r="G120">
            <v>1.5317333333333299E-2</v>
          </cell>
        </row>
        <row r="121">
          <cell r="A121" t="str">
            <v>TFRLFELCEXT</v>
          </cell>
          <cell r="B121" t="str">
            <v>VAR_fout</v>
          </cell>
          <cell r="C121" t="str">
            <v>TFRLF</v>
          </cell>
          <cell r="D121">
            <v>2.5094616289056196E-2</v>
          </cell>
          <cell r="E121">
            <v>2.6565897456320698E-2</v>
          </cell>
          <cell r="F121">
            <v>2.9170901086274879E-2</v>
          </cell>
          <cell r="G121">
            <v>3.1643090295155114E-2</v>
          </cell>
          <cell r="H121">
            <v>3.387918212076714E-2</v>
          </cell>
          <cell r="I121">
            <v>3.642248154257087E-2</v>
          </cell>
        </row>
        <row r="122">
          <cell r="A122" t="str">
            <v>TFRLFELCEXT</v>
          </cell>
          <cell r="B122" t="str">
            <v>VAR_fin</v>
          </cell>
          <cell r="C122" t="str">
            <v>TELC</v>
          </cell>
          <cell r="D122">
            <v>1.5023089011950934</v>
          </cell>
          <cell r="E122">
            <v>1.590388303098764</v>
          </cell>
          <cell r="F122">
            <v>1.746338890103051</v>
          </cell>
          <cell r="G122">
            <v>1.8943384375421939</v>
          </cell>
          <cell r="H122">
            <v>2.028203829816452</v>
          </cell>
          <cell r="I122">
            <v>2.1804604459674777</v>
          </cell>
        </row>
        <row r="123">
          <cell r="A123" t="str">
            <v>TFRLFELCEXT</v>
          </cell>
          <cell r="B123" t="str">
            <v>VAR_ncap</v>
          </cell>
          <cell r="C123" t="str">
            <v>-</v>
          </cell>
          <cell r="D123">
            <v>5.5109420716680098E-8</v>
          </cell>
          <cell r="E123">
            <v>1.35786371964353E-4</v>
          </cell>
          <cell r="F123">
            <v>2.4048839442496301E-4</v>
          </cell>
          <cell r="G123">
            <v>2.2821608416553701E-4</v>
          </cell>
          <cell r="H123">
            <v>7.2201456831333797E-5</v>
          </cell>
          <cell r="I123">
            <v>1.4958002949636E-3</v>
          </cell>
        </row>
        <row r="124">
          <cell r="A124" t="str">
            <v>TFRLFELCEXT</v>
          </cell>
          <cell r="B124" t="str">
            <v>VAR_cap</v>
          </cell>
          <cell r="C124" t="str">
            <v>-</v>
          </cell>
          <cell r="D124">
            <v>2.3167195971038963E-3</v>
          </cell>
          <cell r="E124">
            <v>2.4525059690682499E-3</v>
          </cell>
          <cell r="F124">
            <v>2.6929943634932127E-3</v>
          </cell>
          <cell r="G124">
            <v>2.92121044765875E-3</v>
          </cell>
          <cell r="H124">
            <v>3.1276423215304519E-3</v>
          </cell>
          <cell r="I124">
            <v>3.3624292796488198E-3</v>
          </cell>
        </row>
        <row r="125">
          <cell r="A125" t="str">
            <v>TFLGV-ICEDSLExt</v>
          </cell>
          <cell r="B125" t="str">
            <v>VAR_fout</v>
          </cell>
          <cell r="C125" t="str">
            <v>CO2_T</v>
          </cell>
          <cell r="D125">
            <v>805.05245995477503</v>
          </cell>
          <cell r="E125">
            <v>545.26556939486602</v>
          </cell>
          <cell r="F125">
            <v>415.058693866471</v>
          </cell>
          <cell r="G125">
            <v>199.77413137036501</v>
          </cell>
        </row>
        <row r="126">
          <cell r="A126" t="str">
            <v>TFLGV-ICEDSLExt</v>
          </cell>
          <cell r="B126" t="str">
            <v>VAR_fout</v>
          </cell>
          <cell r="C126" t="str">
            <v>TFLGV</v>
          </cell>
          <cell r="D126">
            <v>2.8449942870252318</v>
          </cell>
          <cell r="E126">
            <v>1.99313878857889</v>
          </cell>
          <cell r="F126">
            <v>1.5927874690362582</v>
          </cell>
          <cell r="G126">
            <v>0.76663309981573025</v>
          </cell>
        </row>
        <row r="127">
          <cell r="A127" t="str">
            <v>TFLGV-ICEDSLExt</v>
          </cell>
          <cell r="B127" t="str">
            <v>VAR_fin</v>
          </cell>
          <cell r="C127" t="str">
            <v>TDSL</v>
          </cell>
          <cell r="D127">
            <v>10.982980354089708</v>
          </cell>
          <cell r="E127">
            <v>7.4388208648685668</v>
          </cell>
          <cell r="F127">
            <v>5.6624651277826885</v>
          </cell>
          <cell r="G127">
            <v>2.7254315330199907</v>
          </cell>
        </row>
        <row r="128">
          <cell r="A128" t="str">
            <v>TFLGV-ICEDSLExt</v>
          </cell>
          <cell r="B128" t="str">
            <v>VAR_cap</v>
          </cell>
          <cell r="C128" t="str">
            <v>-</v>
          </cell>
          <cell r="D128">
            <v>0.228993</v>
          </cell>
          <cell r="E128">
            <v>0.19846059999999999</v>
          </cell>
          <cell r="F128">
            <v>0.15266199999999999</v>
          </cell>
          <cell r="G128">
            <v>7.6330999999999996E-2</v>
          </cell>
        </row>
        <row r="129">
          <cell r="A129" t="str">
            <v>T_C-ICE-NGA-S1</v>
          </cell>
          <cell r="B129" t="str">
            <v>VAR_fout</v>
          </cell>
          <cell r="C129" t="str">
            <v>CO2_T</v>
          </cell>
          <cell r="D129">
            <v>0.20780795817189299</v>
          </cell>
          <cell r="E129">
            <v>4.0945877008190058E-2</v>
          </cell>
          <cell r="F129">
            <v>3.295626668633176E-2</v>
          </cell>
          <cell r="G129">
            <v>7.2897758798058437E-3</v>
          </cell>
          <cell r="H129">
            <v>2.5901142964170972E-3</v>
          </cell>
          <cell r="I129">
            <v>1.5535598587634661E-3</v>
          </cell>
        </row>
        <row r="130">
          <cell r="A130" t="str">
            <v>T_C-ICE-NGA-S1</v>
          </cell>
          <cell r="B130" t="str">
            <v>VAR_fout</v>
          </cell>
          <cell r="C130" t="str">
            <v>TPCAR</v>
          </cell>
          <cell r="D130">
            <v>2.2676249777174675E-3</v>
          </cell>
          <cell r="E130">
            <v>4.6683304245761874E-4</v>
          </cell>
          <cell r="F130">
            <v>3.7283348212752154E-4</v>
          </cell>
          <cell r="G130">
            <v>8.1089242302275164E-5</v>
          </cell>
          <cell r="H130">
            <v>2.8902520677212251E-5</v>
          </cell>
          <cell r="I130">
            <v>1.9171468368231755E-5</v>
          </cell>
        </row>
        <row r="131">
          <cell r="A131" t="str">
            <v>T_C-ICE-NGA-S1</v>
          </cell>
          <cell r="B131" t="str">
            <v>VAR_fin</v>
          </cell>
          <cell r="C131" t="str">
            <v>TNGA</v>
          </cell>
          <cell r="D131">
            <v>3.6845382654590942E-3</v>
          </cell>
          <cell r="E131">
            <v>7.2599072709556836E-4</v>
          </cell>
          <cell r="F131">
            <v>5.8433096961581265E-4</v>
          </cell>
          <cell r="G131">
            <v>1.2925134538662841E-4</v>
          </cell>
          <cell r="H131">
            <v>4.5924012347820889E-5</v>
          </cell>
          <cell r="I131">
            <v>2.7545387566728146E-5</v>
          </cell>
        </row>
        <row r="132">
          <cell r="A132" t="str">
            <v>T_C-ICE-NGA-S1</v>
          </cell>
          <cell r="B132" t="str">
            <v>VAR_ncap</v>
          </cell>
          <cell r="C132" t="str">
            <v>-</v>
          </cell>
          <cell r="E132">
            <v>1.3875201200254601E-6</v>
          </cell>
          <cell r="F132">
            <v>2.12003225492713E-6</v>
          </cell>
          <cell r="G132">
            <v>5.1620552498942898E-7</v>
          </cell>
          <cell r="H132">
            <v>1.6274733245832901E-6</v>
          </cell>
          <cell r="I132">
            <v>1.40935521467176E-6</v>
          </cell>
        </row>
        <row r="133">
          <cell r="A133" t="str">
            <v>T_C-ICE-NGA-S1</v>
          </cell>
          <cell r="B133" t="str">
            <v>VAR_cap</v>
          </cell>
          <cell r="C133" t="str">
            <v>-</v>
          </cell>
          <cell r="D133">
            <v>2.5569237256064256E-4</v>
          </cell>
          <cell r="E133">
            <v>5.0306932374972845E-5</v>
          </cell>
          <cell r="F133">
            <v>5.18568382735166E-5</v>
          </cell>
          <cell r="G133">
            <v>1.2401352910350728E-5</v>
          </cell>
          <cell r="H133">
            <v>4.1120742936420372E-6</v>
          </cell>
          <cell r="I133">
            <v>2.719510236720683E-6</v>
          </cell>
        </row>
        <row r="134">
          <cell r="A134" t="str">
            <v>D-T-ELC-car</v>
          </cell>
          <cell r="B134" t="str">
            <v>VAR_fout</v>
          </cell>
          <cell r="C134" t="str">
            <v>T-ELC-car</v>
          </cell>
          <cell r="D134">
            <v>0.7374304080937204</v>
          </cell>
          <cell r="E134">
            <v>1.6117689075141088</v>
          </cell>
          <cell r="F134">
            <v>3.921641025796613</v>
          </cell>
          <cell r="G134">
            <v>11.5064642753299</v>
          </cell>
          <cell r="H134">
            <v>22.147372718696023</v>
          </cell>
          <cell r="I134">
            <v>24.159052502770816</v>
          </cell>
        </row>
        <row r="135">
          <cell r="A135" t="str">
            <v>D-T-ELC-car</v>
          </cell>
          <cell r="B135" t="str">
            <v>VAR_fin</v>
          </cell>
          <cell r="C135" t="str">
            <v>TELC</v>
          </cell>
          <cell r="D135">
            <v>0.7374304080937204</v>
          </cell>
          <cell r="E135">
            <v>1.6117689075141088</v>
          </cell>
          <cell r="F135">
            <v>3.921641025796613</v>
          </cell>
          <cell r="G135">
            <v>11.5064642753299</v>
          </cell>
          <cell r="H135">
            <v>22.147372718696023</v>
          </cell>
          <cell r="I135">
            <v>24.159052502770816</v>
          </cell>
        </row>
        <row r="136">
          <cell r="A136" t="str">
            <v>D-T-ELC-car</v>
          </cell>
          <cell r="B136" t="str">
            <v>VAR_ncap</v>
          </cell>
          <cell r="C136" t="str">
            <v>-</v>
          </cell>
          <cell r="D136">
            <v>1.3408995130231099E-7</v>
          </cell>
          <cell r="E136">
            <v>1.7346483283866601E-7</v>
          </cell>
          <cell r="F136">
            <v>0.81445836822347395</v>
          </cell>
          <cell r="G136">
            <v>5.1382243801837504</v>
          </cell>
          <cell r="H136">
            <v>5.22460581601272</v>
          </cell>
          <cell r="I136">
            <v>13.507487371504</v>
          </cell>
        </row>
        <row r="137">
          <cell r="A137" t="str">
            <v>D-T-ELC-car</v>
          </cell>
          <cell r="B137" t="str">
            <v>VAR_cap</v>
          </cell>
          <cell r="C137" t="str">
            <v>-</v>
          </cell>
          <cell r="D137">
            <v>1.2762580911480013</v>
          </cell>
          <cell r="E137">
            <v>1.276258264612834</v>
          </cell>
          <cell r="F137">
            <v>2.0907166328363078</v>
          </cell>
          <cell r="G137">
            <v>7.2289410130200595</v>
          </cell>
          <cell r="H137">
            <v>19.546356573972702</v>
          </cell>
          <cell r="I137">
            <v>21.811731642632601</v>
          </cell>
        </row>
        <row r="138">
          <cell r="A138" t="str">
            <v>T_C-ICE-NGA-S2</v>
          </cell>
          <cell r="B138" t="str">
            <v>VAR_fout</v>
          </cell>
          <cell r="C138" t="str">
            <v>CO2_T</v>
          </cell>
          <cell r="D138">
            <v>1.816745373642924</v>
          </cell>
          <cell r="E138">
            <v>1.4381532232361613</v>
          </cell>
          <cell r="F138">
            <v>1.4084254682557835</v>
          </cell>
          <cell r="G138">
            <v>6.0533306379776932E-3</v>
          </cell>
          <cell r="H138">
            <v>7.4158489873971875E-3</v>
          </cell>
          <cell r="I138">
            <v>4.2766807396616199E-3</v>
          </cell>
        </row>
        <row r="139">
          <cell r="A139" t="str">
            <v>T_C-ICE-NGA-S2</v>
          </cell>
          <cell r="B139" t="str">
            <v>VAR_fout</v>
          </cell>
          <cell r="C139" t="str">
            <v>TPCAR</v>
          </cell>
          <cell r="D139">
            <v>2.1408963149608138E-2</v>
          </cell>
          <cell r="E139">
            <v>1.7545032190557006E-2</v>
          </cell>
          <cell r="F139">
            <v>1.7169216509182489E-2</v>
          </cell>
          <cell r="G139">
            <v>5.9863294182374071E-5</v>
          </cell>
          <cell r="H139">
            <v>6.6004057069593775E-5</v>
          </cell>
          <cell r="I139">
            <v>4.2255265124104963E-5</v>
          </cell>
        </row>
        <row r="140">
          <cell r="A140" t="str">
            <v>T_C-ICE-NGA-S2</v>
          </cell>
          <cell r="B140" t="str">
            <v>VAR_fin</v>
          </cell>
          <cell r="C140" t="str">
            <v>TNGA</v>
          </cell>
          <cell r="D140">
            <v>3.2211797405016333E-2</v>
          </cell>
          <cell r="E140">
            <v>2.5499170624754604E-2</v>
          </cell>
          <cell r="F140">
            <v>2.4972082770492572E-2</v>
          </cell>
          <cell r="G140">
            <v>1.0732855741095195E-4</v>
          </cell>
          <cell r="H140">
            <v>1.3148668417370881E-4</v>
          </cell>
          <cell r="I140">
            <v>7.5827672689035867E-5</v>
          </cell>
        </row>
        <row r="141">
          <cell r="A141" t="str">
            <v>T_C-ICE-NGA-S2</v>
          </cell>
          <cell r="B141" t="str">
            <v>VAR_ncap</v>
          </cell>
          <cell r="C141" t="str">
            <v>-</v>
          </cell>
          <cell r="E141">
            <v>8.9513312956057404E-7</v>
          </cell>
          <cell r="F141">
            <v>1.9601060741642298E-6</v>
          </cell>
          <cell r="G141">
            <v>6.3409126132692799E-7</v>
          </cell>
          <cell r="H141">
            <v>2.0825604934425801E-6</v>
          </cell>
          <cell r="I141">
            <v>1.9675437743859099E-6</v>
          </cell>
        </row>
        <row r="142">
          <cell r="A142" t="str">
            <v>T_C-ICE-NGA-S2</v>
          </cell>
          <cell r="B142" t="str">
            <v>VAR_cap</v>
          </cell>
          <cell r="C142" t="str">
            <v>-</v>
          </cell>
          <cell r="D142">
            <v>1.6315680883684798E-3</v>
          </cell>
          <cell r="E142">
            <v>1.3313294402685749E-3</v>
          </cell>
          <cell r="F142">
            <v>1.306017851163518E-3</v>
          </cell>
          <cell r="G142">
            <v>4.9317210083464624E-6</v>
          </cell>
          <cell r="H142">
            <v>5.6783628045375465E-6</v>
          </cell>
          <cell r="I142">
            <v>3.7453216191983384E-6</v>
          </cell>
        </row>
        <row r="143">
          <cell r="A143" t="str">
            <v>TFLGV-ICEDSL</v>
          </cell>
          <cell r="B143" t="str">
            <v>VAR_fout</v>
          </cell>
          <cell r="C143" t="str">
            <v>CO2_T</v>
          </cell>
          <cell r="D143">
            <v>326.12301764599061</v>
          </cell>
          <cell r="E143">
            <v>384.71774827484353</v>
          </cell>
          <cell r="F143">
            <v>384.7889080229441</v>
          </cell>
          <cell r="G143">
            <v>157.80606944597827</v>
          </cell>
          <cell r="H143">
            <v>28.442447531226644</v>
          </cell>
          <cell r="I143">
            <v>5.0437938773398088</v>
          </cell>
        </row>
        <row r="144">
          <cell r="A144" t="str">
            <v>TFLGV-ICEDSL</v>
          </cell>
          <cell r="B144" t="str">
            <v>VAR_fout</v>
          </cell>
          <cell r="C144" t="str">
            <v>TFLGV</v>
          </cell>
          <cell r="D144">
            <v>1.5221202933257971</v>
          </cell>
          <cell r="E144">
            <v>1.7956006174559729</v>
          </cell>
          <cell r="F144">
            <v>1.7959327427301486</v>
          </cell>
          <cell r="G144">
            <v>0.73653133240181945</v>
          </cell>
          <cell r="H144">
            <v>0.13274998769369009</v>
          </cell>
          <cell r="I144">
            <v>2.3540997110437212E-2</v>
          </cell>
        </row>
        <row r="145">
          <cell r="A145" t="str">
            <v>TFLGV-ICEDSL</v>
          </cell>
          <cell r="B145" t="str">
            <v>VAR_fin</v>
          </cell>
          <cell r="C145" t="str">
            <v>TDSL</v>
          </cell>
          <cell r="D145">
            <v>4.4491544017188396</v>
          </cell>
          <cell r="E145">
            <v>5.2485368113894086</v>
          </cell>
          <cell r="F145">
            <v>5.2495076128641776</v>
          </cell>
          <cell r="G145">
            <v>2.1528795285945166</v>
          </cell>
          <cell r="H145">
            <v>0.38802793357744403</v>
          </cell>
          <cell r="I145">
            <v>6.8810284820461295E-2</v>
          </cell>
        </row>
        <row r="146">
          <cell r="A146" t="str">
            <v>TFLGV-ICEDSL</v>
          </cell>
          <cell r="B146" t="str">
            <v>VAR_ncap</v>
          </cell>
          <cell r="C146" t="str">
            <v>-</v>
          </cell>
          <cell r="E146">
            <v>3.62208126857497E-6</v>
          </cell>
          <cell r="F146">
            <v>9.8320467885490206E-5</v>
          </cell>
          <cell r="G146">
            <v>5.8276573284998502E-5</v>
          </cell>
          <cell r="H146">
            <v>1.41414143389358E-5</v>
          </cell>
          <cell r="I146">
            <v>1.6546618096576201E-5</v>
          </cell>
        </row>
        <row r="147">
          <cell r="A147" t="str">
            <v>TFLGV-ICEDSL</v>
          </cell>
          <cell r="B147" t="str">
            <v>VAR_cap</v>
          </cell>
          <cell r="C147" t="str">
            <v>-</v>
          </cell>
          <cell r="D147">
            <v>0.10616889441071155</v>
          </cell>
          <cell r="E147">
            <v>0.12515952348468426</v>
          </cell>
          <cell r="F147">
            <v>0.12525791824986635</v>
          </cell>
          <cell r="G147">
            <v>7.1002645276039889E-2</v>
          </cell>
          <cell r="H147">
            <v>1.3143026606709043E-2</v>
          </cell>
          <cell r="I147">
            <v>2.325796030390868E-3</v>
          </cell>
        </row>
        <row r="148">
          <cell r="A148" t="str">
            <v>T_C-ICE-NGA-S3</v>
          </cell>
          <cell r="B148" t="str">
            <v>VAR_fout</v>
          </cell>
          <cell r="C148" t="str">
            <v>CO2_T</v>
          </cell>
          <cell r="D148">
            <v>0.24544745981919469</v>
          </cell>
          <cell r="E148">
            <v>9.4735631209676097E-2</v>
          </cell>
          <cell r="F148">
            <v>9.2957292239029071E-2</v>
          </cell>
          <cell r="G148">
            <v>2.8066438649865372E-2</v>
          </cell>
          <cell r="H148">
            <v>1.6617961929903648E-2</v>
          </cell>
          <cell r="I148">
            <v>1.179023492039822E-2</v>
          </cell>
        </row>
        <row r="149">
          <cell r="A149" t="str">
            <v>T_C-ICE-NGA-S3</v>
          </cell>
          <cell r="B149" t="str">
            <v>VAR_fout</v>
          </cell>
          <cell r="C149" t="str">
            <v>TPCAR</v>
          </cell>
          <cell r="D149">
            <v>2.0373530164983105E-3</v>
          </cell>
          <cell r="E149">
            <v>8.4471027139986204E-4</v>
          </cell>
          <cell r="F149">
            <v>8.2844750359027566E-4</v>
          </cell>
          <cell r="G149">
            <v>2.4103026768852335E-4</v>
          </cell>
          <cell r="H149">
            <v>1.4155261604569189E-4</v>
          </cell>
          <cell r="I149">
            <v>1.1457389146717614E-4</v>
          </cell>
        </row>
        <row r="150">
          <cell r="A150" t="str">
            <v>T_C-ICE-NGA-S3</v>
          </cell>
          <cell r="B150" t="str">
            <v>VAR_fin</v>
          </cell>
          <cell r="C150" t="str">
            <v>TNGA</v>
          </cell>
          <cell r="D150">
            <v>4.3519053159431706E-3</v>
          </cell>
          <cell r="E150">
            <v>1.6797097732212101E-3</v>
          </cell>
          <cell r="F150">
            <v>1.6481789404083158E-3</v>
          </cell>
          <cell r="G150">
            <v>4.9763189095506039E-4</v>
          </cell>
          <cell r="H150">
            <v>2.9464471506921331E-4</v>
          </cell>
          <cell r="I150">
            <v>2.0904671844677709E-4</v>
          </cell>
        </row>
        <row r="151">
          <cell r="A151" t="str">
            <v>T_C-ICE-NGA-S3</v>
          </cell>
          <cell r="B151" t="str">
            <v>VAR_ncap</v>
          </cell>
          <cell r="C151" t="str">
            <v>-</v>
          </cell>
          <cell r="E151">
            <v>1.16104081459845E-6</v>
          </cell>
          <cell r="F151">
            <v>2.1753620394094701E-6</v>
          </cell>
          <cell r="G151">
            <v>8.2355357215125602E-7</v>
          </cell>
          <cell r="H151">
            <v>3.3517988225052501E-6</v>
          </cell>
          <cell r="I151">
            <v>5.5775305824049399E-6</v>
          </cell>
        </row>
        <row r="152">
          <cell r="A152" t="str">
            <v>T_C-ICE-NGA-S3</v>
          </cell>
          <cell r="B152" t="str">
            <v>VAR_cap</v>
          </cell>
          <cell r="C152" t="str">
            <v>-</v>
          </cell>
          <cell r="D152">
            <v>1.4822680441509974E-4</v>
          </cell>
          <cell r="E152">
            <v>5.8550180879927762E-5</v>
          </cell>
          <cell r="F152">
            <v>5.9286483229484803E-5</v>
          </cell>
          <cell r="G152">
            <v>1.6729382957092912E-5</v>
          </cell>
          <cell r="H152">
            <v>1.0353669467820248E-5</v>
          </cell>
          <cell r="I152">
            <v>8.4568537256820996E-6</v>
          </cell>
        </row>
        <row r="153">
          <cell r="A153" t="str">
            <v>T_C-ICE-NGA-S4</v>
          </cell>
          <cell r="B153" t="str">
            <v>VAR_fout</v>
          </cell>
          <cell r="C153" t="str">
            <v>CO2_T</v>
          </cell>
          <cell r="D153">
            <v>2.728820151692958</v>
          </cell>
          <cell r="E153">
            <v>2.6604693838275524</v>
          </cell>
          <cell r="F153">
            <v>2.476396779588367</v>
          </cell>
          <cell r="G153">
            <v>4.4978095160800669E-3</v>
          </cell>
          <cell r="H153">
            <v>1.6398080357470098E-2</v>
          </cell>
          <cell r="I153">
            <v>1.9943017052278359E-2</v>
          </cell>
        </row>
        <row r="154">
          <cell r="A154" t="str">
            <v>T_C-ICE-NGA-S4</v>
          </cell>
          <cell r="B154" t="str">
            <v>VAR_fout</v>
          </cell>
          <cell r="C154" t="str">
            <v>TPCAR</v>
          </cell>
          <cell r="D154">
            <v>3.3030737194074129E-2</v>
          </cell>
          <cell r="E154">
            <v>3.218857124967818E-2</v>
          </cell>
          <cell r="F154">
            <v>2.9947885151051838E-2</v>
          </cell>
          <cell r="G154">
            <v>4.3940384729186757E-5</v>
          </cell>
          <cell r="H154">
            <v>1.4105380320031261E-4</v>
          </cell>
          <cell r="I154">
            <v>2.0299430614852251E-4</v>
          </cell>
        </row>
        <row r="155">
          <cell r="A155" t="str">
            <v>T_C-ICE-NGA-S4</v>
          </cell>
          <cell r="B155" t="str">
            <v>VAR_fin</v>
          </cell>
          <cell r="C155" t="str">
            <v>TNGA</v>
          </cell>
          <cell r="D155">
            <v>4.8383336022924807E-2</v>
          </cell>
          <cell r="E155">
            <v>4.7171442975665813E-2</v>
          </cell>
          <cell r="F155">
            <v>4.3907744318942767E-2</v>
          </cell>
          <cell r="G155">
            <v>7.9748395675178328E-5</v>
          </cell>
          <cell r="H155">
            <v>2.9074610562890177E-4</v>
          </cell>
          <cell r="I155">
            <v>3.5359959312550223E-4</v>
          </cell>
        </row>
        <row r="156">
          <cell r="A156" t="str">
            <v>T_C-ICE-NGA-S4</v>
          </cell>
          <cell r="B156" t="str">
            <v>VAR_ncap</v>
          </cell>
          <cell r="C156" t="str">
            <v>-</v>
          </cell>
          <cell r="E156">
            <v>1.19552617401974E-6</v>
          </cell>
          <cell r="F156">
            <v>2.30263092339118E-6</v>
          </cell>
          <cell r="G156">
            <v>8.2147359463259599E-7</v>
          </cell>
          <cell r="H156">
            <v>4.0619649346623902E-6</v>
          </cell>
          <cell r="I156">
            <v>1.5186674134341799E-5</v>
          </cell>
        </row>
        <row r="157">
          <cell r="A157" t="str">
            <v>T_C-ICE-NGA-S4</v>
          </cell>
          <cell r="B157" t="str">
            <v>VAR_cap</v>
          </cell>
          <cell r="C157" t="str">
            <v>-</v>
          </cell>
          <cell r="D157">
            <v>2.6074482428115001E-3</v>
          </cell>
          <cell r="E157">
            <v>2.5347410931258322E-3</v>
          </cell>
          <cell r="F157">
            <v>2.3610514594399781E-3</v>
          </cell>
          <cell r="G157">
            <v>3.7580578370242056E-6</v>
          </cell>
          <cell r="H157">
            <v>1.2077157928749112E-5</v>
          </cell>
          <cell r="I157">
            <v>1.7324188313555971E-5</v>
          </cell>
        </row>
        <row r="158">
          <cell r="A158" t="str">
            <v>T_C-MHY-GSL-S1</v>
          </cell>
          <cell r="B158" t="str">
            <v>VAR_fout</v>
          </cell>
          <cell r="C158" t="str">
            <v>CO2_T</v>
          </cell>
          <cell r="E158">
            <v>5.5944557896616598E-3</v>
          </cell>
          <cell r="F158">
            <v>46.818117173517535</v>
          </cell>
          <cell r="G158">
            <v>41.25835323893844</v>
          </cell>
          <cell r="H158">
            <v>4.0411377188749791</v>
          </cell>
          <cell r="I158">
            <v>1.6882885624971589E-2</v>
          </cell>
        </row>
        <row r="159">
          <cell r="A159" t="str">
            <v>T_C-MHY-GSL-S1</v>
          </cell>
          <cell r="B159" t="str">
            <v>VAR_fout</v>
          </cell>
          <cell r="C159" t="str">
            <v>TPCAR</v>
          </cell>
          <cell r="E159">
            <v>3.9295842275338853E-5</v>
          </cell>
          <cell r="F159">
            <v>0.35052656037069102</v>
          </cell>
          <cell r="G159">
            <v>0.30897784116274812</v>
          </cell>
          <cell r="H159">
            <v>3.0366808511392462E-2</v>
          </cell>
          <cell r="I159">
            <v>1.6973574394445583E-4</v>
          </cell>
        </row>
        <row r="160">
          <cell r="A160" t="str">
            <v>T_C-MHY-GSL-S1</v>
          </cell>
          <cell r="B160" t="str">
            <v>VAR_fin</v>
          </cell>
          <cell r="C160" t="str">
            <v>TGSL</v>
          </cell>
          <cell r="E160">
            <v>7.580563400625556E-5</v>
          </cell>
          <cell r="F160">
            <v>0.63439183161947954</v>
          </cell>
          <cell r="G160">
            <v>0.55905627695038529</v>
          </cell>
          <cell r="H160">
            <v>5.4757963670392727E-2</v>
          </cell>
          <cell r="I160">
            <v>2.2876538787224381E-4</v>
          </cell>
        </row>
        <row r="161">
          <cell r="A161" t="str">
            <v>T_C-MHY-GSL-S1</v>
          </cell>
          <cell r="B161" t="str">
            <v>VAR_ncap</v>
          </cell>
          <cell r="C161" t="str">
            <v>-</v>
          </cell>
          <cell r="E161">
            <v>4.4012014871163801E-6</v>
          </cell>
          <cell r="F161">
            <v>5.3983704678155303E-2</v>
          </cell>
          <cell r="G161">
            <v>1.31398609239055E-4</v>
          </cell>
          <cell r="H161">
            <v>1.9536551713549399E-5</v>
          </cell>
          <cell r="I161">
            <v>5.2101594287016197E-6</v>
          </cell>
        </row>
        <row r="162">
          <cell r="A162" t="str">
            <v>T_C-MHY-GSL-S1</v>
          </cell>
          <cell r="B162" t="str">
            <v>VAR_cap</v>
          </cell>
          <cell r="C162" t="str">
            <v>-</v>
          </cell>
          <cell r="E162">
            <v>4.3426076274979702E-6</v>
          </cell>
          <cell r="F162">
            <v>5.3269105513152101E-2</v>
          </cell>
          <cell r="G162">
            <v>4.6955728103354799E-2</v>
          </cell>
          <cell r="H162">
            <v>4.6122800075625702E-3</v>
          </cell>
          <cell r="I162">
            <v>2.5094518348217299E-5</v>
          </cell>
        </row>
        <row r="163">
          <cell r="A163" t="str">
            <v>T_TRLY_ELC</v>
          </cell>
          <cell r="B163" t="str">
            <v>VAR_fout</v>
          </cell>
          <cell r="C163" t="str">
            <v>TPTRLY</v>
          </cell>
          <cell r="D163">
            <v>2.7120999999999972E-2</v>
          </cell>
          <cell r="E163">
            <v>2.7694845980498664E-2</v>
          </cell>
          <cell r="F163">
            <v>2.8832315767707572E-2</v>
          </cell>
          <cell r="G163">
            <v>3.0543631535415186E-2</v>
          </cell>
          <cell r="H163">
            <v>3.2006602244411902E-2</v>
          </cell>
          <cell r="I163">
            <v>3.3071687199031086E-2</v>
          </cell>
        </row>
        <row r="164">
          <cell r="A164" t="str">
            <v>T_TRLY_ELC</v>
          </cell>
          <cell r="B164" t="str">
            <v>VAR_fin</v>
          </cell>
          <cell r="C164" t="str">
            <v>TELC</v>
          </cell>
          <cell r="D164">
            <v>0.2816422643485601</v>
          </cell>
          <cell r="E164">
            <v>0.30572256601970044</v>
          </cell>
          <cell r="F164">
            <v>0.35149986092475399</v>
          </cell>
          <cell r="G164">
            <v>0.45078090930791764</v>
          </cell>
          <cell r="H164">
            <v>0.47237229295618205</v>
          </cell>
          <cell r="I164">
            <v>0.48809144422268164</v>
          </cell>
        </row>
        <row r="165">
          <cell r="A165" t="str">
            <v>T_C-MHY-GSL-S2</v>
          </cell>
          <cell r="B165" t="str">
            <v>VAR_fout</v>
          </cell>
          <cell r="C165" t="str">
            <v>CO2_T</v>
          </cell>
          <cell r="E165">
            <v>5.4899769768689101E-3</v>
          </cell>
          <cell r="F165">
            <v>8.59185065966378E-2</v>
          </cell>
          <cell r="G165">
            <v>0.21322235440180215</v>
          </cell>
          <cell r="H165">
            <v>0.13135706315010645</v>
          </cell>
          <cell r="I165">
            <v>3.0090255431975708E-2</v>
          </cell>
        </row>
        <row r="166">
          <cell r="A166" t="str">
            <v>T_C-MHY-GSL-S2</v>
          </cell>
          <cell r="B166" t="str">
            <v>VAR_fout</v>
          </cell>
          <cell r="C166" t="str">
            <v>TPCAR</v>
          </cell>
          <cell r="E166">
            <v>3.104567937350984E-5</v>
          </cell>
          <cell r="F166">
            <v>5.1768633803797788E-4</v>
          </cell>
          <cell r="G166">
            <v>1.3805674032246439E-3</v>
          </cell>
          <cell r="H166">
            <v>9.494067503784848E-4</v>
          </cell>
          <cell r="I166">
            <v>2.5215101583588734E-4</v>
          </cell>
        </row>
        <row r="167">
          <cell r="A167" t="str">
            <v>T_C-MHY-GSL-S2</v>
          </cell>
          <cell r="B167" t="str">
            <v>VAR_fin</v>
          </cell>
          <cell r="C167" t="str">
            <v>TGSL</v>
          </cell>
          <cell r="E167">
            <v>7.4389931935892967E-5</v>
          </cell>
          <cell r="F167">
            <v>1.1642074064585066E-3</v>
          </cell>
          <cell r="G167">
            <v>2.8891917940623616E-3</v>
          </cell>
          <cell r="H167">
            <v>1.7799060047439892E-3</v>
          </cell>
          <cell r="I167">
            <v>4.0772703837365504E-4</v>
          </cell>
        </row>
        <row r="168">
          <cell r="A168" t="str">
            <v>T_C-MHY-GSL-S2</v>
          </cell>
          <cell r="B168" t="str">
            <v>VAR_ncap</v>
          </cell>
          <cell r="C168" t="str">
            <v>-</v>
          </cell>
          <cell r="E168">
            <v>2.47621137041992E-6</v>
          </cell>
          <cell r="F168">
            <v>4.50382571674921E-5</v>
          </cell>
          <cell r="G168">
            <v>9.7724586613922397E-5</v>
          </cell>
          <cell r="H168">
            <v>1.8481234740781902E-5</v>
          </cell>
          <cell r="I168">
            <v>6.6611656724470799E-6</v>
          </cell>
        </row>
        <row r="169">
          <cell r="A169" t="str">
            <v>T_C-MHY-GSL-S2</v>
          </cell>
          <cell r="B169" t="str">
            <v>VAR_cap</v>
          </cell>
          <cell r="C169" t="str">
            <v>-</v>
          </cell>
          <cell r="E169">
            <v>2.44324519474071E-6</v>
          </cell>
          <cell r="F169">
            <v>4.6742053111726199E-5</v>
          </cell>
          <cell r="G169">
            <v>1.33573797614544E-4</v>
          </cell>
          <cell r="H169">
            <v>9.2205816826938596E-5</v>
          </cell>
          <cell r="I169">
            <v>2.47837624024993E-5</v>
          </cell>
        </row>
        <row r="170">
          <cell r="A170" t="str">
            <v>T_C-MHY-DSL-S1</v>
          </cell>
          <cell r="B170" t="str">
            <v>VAR_fout</v>
          </cell>
          <cell r="C170" t="str">
            <v>CO2_T</v>
          </cell>
          <cell r="E170">
            <v>5.5582011743047404E-3</v>
          </cell>
          <cell r="F170">
            <v>30.297514420391039</v>
          </cell>
          <cell r="G170">
            <v>132.34427765691424</v>
          </cell>
          <cell r="H170">
            <v>45.386634445070726</v>
          </cell>
          <cell r="I170">
            <v>4.5121657589497835E-2</v>
          </cell>
        </row>
        <row r="171">
          <cell r="A171" t="str">
            <v>T_C-MHY-DSL-S1</v>
          </cell>
          <cell r="B171" t="str">
            <v>VAR_fout</v>
          </cell>
          <cell r="C171" t="str">
            <v>TPCAR</v>
          </cell>
          <cell r="E171">
            <v>4.2618091189837051E-5</v>
          </cell>
          <cell r="F171">
            <v>0.24487977725842713</v>
          </cell>
          <cell r="G171">
            <v>1.142787845559335</v>
          </cell>
          <cell r="H171">
            <v>0.3965817839023581</v>
          </cell>
          <cell r="I171">
            <v>4.5990737475714406E-4</v>
          </cell>
        </row>
        <row r="172">
          <cell r="A172" t="str">
            <v>T_C-MHY-DSL-S1</v>
          </cell>
          <cell r="B172" t="str">
            <v>VAR_fin</v>
          </cell>
          <cell r="C172" t="str">
            <v>TDSL</v>
          </cell>
          <cell r="E172">
            <v>7.5828119704021075E-5</v>
          </cell>
          <cell r="F172">
            <v>0.41333580382525231</v>
          </cell>
          <cell r="G172">
            <v>1.8055153841325298</v>
          </cell>
          <cell r="H172">
            <v>0.6191901015698611</v>
          </cell>
          <cell r="I172">
            <v>6.1557513764662754E-4</v>
          </cell>
        </row>
        <row r="173">
          <cell r="A173" t="str">
            <v>T_C-MHY-DSL-S1</v>
          </cell>
          <cell r="B173" t="str">
            <v>VAR_ncap</v>
          </cell>
          <cell r="C173" t="str">
            <v>-</v>
          </cell>
          <cell r="E173">
            <v>4.7525535367091496E-6</v>
          </cell>
          <cell r="F173">
            <v>3.7710943009794502E-2</v>
          </cell>
          <cell r="G173">
            <v>0.14866883121851601</v>
          </cell>
          <cell r="H173">
            <v>5.4899372554251701E-5</v>
          </cell>
          <cell r="I173">
            <v>7.9915213202895293E-6</v>
          </cell>
        </row>
        <row r="174">
          <cell r="A174" t="str">
            <v>T_C-MHY-DSL-S1</v>
          </cell>
          <cell r="B174" t="str">
            <v>VAR_cap</v>
          </cell>
          <cell r="C174" t="str">
            <v>-</v>
          </cell>
          <cell r="E174">
            <v>4.68928207422917E-6</v>
          </cell>
          <cell r="F174">
            <v>3.7213312407992701E-2</v>
          </cell>
          <cell r="G174">
            <v>0.173674240715921</v>
          </cell>
          <cell r="H174">
            <v>6.0267186822604797E-2</v>
          </cell>
          <cell r="I174">
            <v>6.8978180629955399E-5</v>
          </cell>
        </row>
        <row r="175">
          <cell r="A175" t="str">
            <v>T_C-MHY-GSL-S3</v>
          </cell>
          <cell r="B175" t="str">
            <v>VAR_fout</v>
          </cell>
          <cell r="C175" t="str">
            <v>CO2_T</v>
          </cell>
          <cell r="E175">
            <v>6.0216585178952597E-3</v>
          </cell>
          <cell r="F175">
            <v>8.1959131763367055E-2</v>
          </cell>
          <cell r="G175">
            <v>0.1986207418239152</v>
          </cell>
          <cell r="H175">
            <v>0.14513509899655783</v>
          </cell>
          <cell r="I175">
            <v>4.2211793247768803E-2</v>
          </cell>
        </row>
        <row r="176">
          <cell r="A176" t="str">
            <v>T_C-MHY-GSL-S3</v>
          </cell>
          <cell r="B176" t="str">
            <v>VAR_fout</v>
          </cell>
          <cell r="C176" t="str">
            <v>TPCAR</v>
          </cell>
          <cell r="E176">
            <v>3.1656128902031318E-5</v>
          </cell>
          <cell r="F176">
            <v>4.5899357902883306E-4</v>
          </cell>
          <cell r="G176">
            <v>1.1926241797552983E-3</v>
          </cell>
          <cell r="H176">
            <v>9.9542654400480799E-4</v>
          </cell>
          <cell r="I176">
            <v>3.3844309879890646E-4</v>
          </cell>
        </row>
        <row r="177">
          <cell r="A177" t="str">
            <v>T_C-MHY-GSL-S3</v>
          </cell>
          <cell r="B177" t="str">
            <v>VAR_fin</v>
          </cell>
          <cell r="C177" t="str">
            <v>TGSL</v>
          </cell>
          <cell r="E177">
            <v>8.1594288860369386E-5</v>
          </cell>
          <cell r="F177">
            <v>1.1105573409670349E-3</v>
          </cell>
          <cell r="G177">
            <v>2.6913379650936996E-3</v>
          </cell>
          <cell r="H177">
            <v>1.9666002574059353E-3</v>
          </cell>
          <cell r="I177">
            <v>5.7197551826245027E-4</v>
          </cell>
        </row>
        <row r="178">
          <cell r="A178" t="str">
            <v>T_C-MHY-GSL-S3</v>
          </cell>
          <cell r="B178" t="str">
            <v>VAR_ncap</v>
          </cell>
          <cell r="C178" t="str">
            <v>-</v>
          </cell>
          <cell r="E178">
            <v>2.35225648616888E-6</v>
          </cell>
          <cell r="F178">
            <v>3.15508238280428E-5</v>
          </cell>
          <cell r="G178">
            <v>5.7936097830340998E-5</v>
          </cell>
          <cell r="H178">
            <v>1.8591878729662899E-5</v>
          </cell>
          <cell r="I178">
            <v>1.0075365943970601E-5</v>
          </cell>
        </row>
        <row r="179">
          <cell r="A179" t="str">
            <v>T_C-MHY-GSL-S3</v>
          </cell>
          <cell r="B179" t="str">
            <v>VAR_cap</v>
          </cell>
          <cell r="C179" t="str">
            <v>-</v>
          </cell>
          <cell r="E179">
            <v>2.32094054057072E-6</v>
          </cell>
          <cell r="F179">
            <v>3.3318875910908497E-5</v>
          </cell>
          <cell r="G179">
            <v>8.4056657813182597E-5</v>
          </cell>
          <cell r="H179">
            <v>7.3530878150708897E-5</v>
          </cell>
          <cell r="I179">
            <v>2.7046236697093899E-5</v>
          </cell>
        </row>
        <row r="180">
          <cell r="A180" t="str">
            <v>T_C-MHY-DSL-S2</v>
          </cell>
          <cell r="B180" t="str">
            <v>VAR_fout</v>
          </cell>
          <cell r="C180" t="str">
            <v>CO2_T</v>
          </cell>
          <cell r="E180">
            <v>5.4762279239983303E-3</v>
          </cell>
          <cell r="F180">
            <v>7.7774740288105798E-2</v>
          </cell>
          <cell r="G180">
            <v>3.8985331922974766</v>
          </cell>
          <cell r="H180">
            <v>1.6401615698305962</v>
          </cell>
          <cell r="I180">
            <v>6.2157795025025102E-2</v>
          </cell>
        </row>
        <row r="181">
          <cell r="A181" t="str">
            <v>T_C-MHY-DSL-S2</v>
          </cell>
          <cell r="B181" t="str">
            <v>VAR_fout</v>
          </cell>
          <cell r="C181" t="str">
            <v>TPCAR</v>
          </cell>
          <cell r="E181">
            <v>3.3776406915872494E-5</v>
          </cell>
          <cell r="F181">
            <v>5.0563000125920473E-4</v>
          </cell>
          <cell r="G181">
            <v>2.7689355471715027E-2</v>
          </cell>
          <cell r="H181">
            <v>1.182758518229976E-2</v>
          </cell>
          <cell r="I181">
            <v>5.3393328727224343E-4</v>
          </cell>
        </row>
        <row r="182">
          <cell r="A182" t="str">
            <v>T_C-MHY-DSL-S2</v>
          </cell>
          <cell r="B182" t="str">
            <v>VAR_fin</v>
          </cell>
          <cell r="C182" t="str">
            <v>TDSL</v>
          </cell>
          <cell r="E182">
            <v>7.470979432467024E-5</v>
          </cell>
          <cell r="F182">
            <v>1.0610469343534199E-3</v>
          </cell>
          <cell r="G182">
            <v>5.318599170937903E-2</v>
          </cell>
          <cell r="H182">
            <v>2.2376010502463801E-2</v>
          </cell>
          <cell r="I182">
            <v>8.4799174658970269E-4</v>
          </cell>
        </row>
        <row r="183">
          <cell r="A183" t="str">
            <v>T_C-MHY-DSL-S2</v>
          </cell>
          <cell r="B183" t="str">
            <v>VAR_ncap</v>
          </cell>
          <cell r="C183" t="str">
            <v>-</v>
          </cell>
          <cell r="E183">
            <v>2.6464396577914599E-6</v>
          </cell>
          <cell r="F183">
            <v>4.2438668940652798E-5</v>
          </cell>
          <cell r="G183">
            <v>2.1761411350799099E-3</v>
          </cell>
          <cell r="H183">
            <v>4.4000041281448101E-5</v>
          </cell>
          <cell r="I183">
            <v>1.18513808494163E-5</v>
          </cell>
        </row>
        <row r="184">
          <cell r="A184" t="str">
            <v>T_C-MHY-DSL-S2</v>
          </cell>
          <cell r="B184" t="str">
            <v>VAR_cap</v>
          </cell>
          <cell r="C184" t="str">
            <v>-</v>
          </cell>
          <cell r="E184">
            <v>2.6112072072319601E-6</v>
          </cell>
          <cell r="F184">
            <v>4.4335421683476597E-5</v>
          </cell>
          <cell r="G184">
            <v>2.1020713615310799E-3</v>
          </cell>
          <cell r="H184">
            <v>9.4849402056117497E-4</v>
          </cell>
          <cell r="I184">
            <v>5.2627810147543102E-5</v>
          </cell>
        </row>
        <row r="185">
          <cell r="A185" t="str">
            <v>T_C-MHY-GSL-S4</v>
          </cell>
          <cell r="B185" t="str">
            <v>VAR_fout</v>
          </cell>
          <cell r="C185" t="str">
            <v>CO2_T</v>
          </cell>
          <cell r="E185">
            <v>7.4325546328489703E-3</v>
          </cell>
          <cell r="F185">
            <v>0.16782429964836793</v>
          </cell>
          <cell r="G185">
            <v>303.2379121621284</v>
          </cell>
          <cell r="H185">
            <v>319.33886409251227</v>
          </cell>
          <cell r="I185">
            <v>278.54588511715872</v>
          </cell>
        </row>
        <row r="186">
          <cell r="A186" t="str">
            <v>T_C-MHY-GSL-S4</v>
          </cell>
          <cell r="B186" t="str">
            <v>VAR_fout</v>
          </cell>
          <cell r="C186" t="str">
            <v>TPCAR</v>
          </cell>
          <cell r="E186">
            <v>3.9612553995480132E-5</v>
          </cell>
          <cell r="F186">
            <v>9.5265569456744333E-4</v>
          </cell>
          <cell r="G186">
            <v>1.9078027113913074</v>
          </cell>
          <cell r="H186">
            <v>2.2902801781431945</v>
          </cell>
          <cell r="I186">
            <v>2.4866904660284046</v>
          </cell>
        </row>
        <row r="187">
          <cell r="A187" t="str">
            <v>T_C-MHY-GSL-S4</v>
          </cell>
          <cell r="B187" t="str">
            <v>VAR_fin</v>
          </cell>
          <cell r="C187" t="str">
            <v>TGSL</v>
          </cell>
          <cell r="E187">
            <v>1.0071212239632752E-4</v>
          </cell>
          <cell r="F187">
            <v>2.2740420006553907E-3</v>
          </cell>
          <cell r="G187">
            <v>4.1089147989448263</v>
          </cell>
          <cell r="H187">
            <v>4.327084879302344</v>
          </cell>
          <cell r="I187">
            <v>3.7743344866823629</v>
          </cell>
        </row>
        <row r="188">
          <cell r="A188" t="str">
            <v>T_C-MHY-GSL-S4</v>
          </cell>
          <cell r="B188" t="str">
            <v>VAR_ncap</v>
          </cell>
          <cell r="C188" t="str">
            <v>-</v>
          </cell>
          <cell r="E188">
            <v>3.3010226147522401E-6</v>
          </cell>
          <cell r="F188">
            <v>7.73782248757766E-5</v>
          </cell>
          <cell r="G188">
            <v>0.15837631758929299</v>
          </cell>
          <cell r="H188">
            <v>0.13125933886673499</v>
          </cell>
          <cell r="I188">
            <v>0.22824737293289099</v>
          </cell>
        </row>
        <row r="189">
          <cell r="A189" t="str">
            <v>T_C-MHY-GSL-S4</v>
          </cell>
          <cell r="B189" t="str">
            <v>VAR_cap</v>
          </cell>
          <cell r="C189" t="str">
            <v>-</v>
          </cell>
          <cell r="E189">
            <v>3.2570756024983899E-6</v>
          </cell>
          <cell r="F189">
            <v>7.9418721776739604E-5</v>
          </cell>
          <cell r="G189">
            <v>0.15023217062488001</v>
          </cell>
          <cell r="H189">
            <v>0.24982973295005401</v>
          </cell>
          <cell r="I189">
            <v>0.27970468689684902</v>
          </cell>
        </row>
        <row r="190">
          <cell r="A190" t="str">
            <v>T_C-MHY-DSL-S3</v>
          </cell>
          <cell r="B190" t="str">
            <v>VAR_fout</v>
          </cell>
          <cell r="C190" t="str">
            <v>CO2_T</v>
          </cell>
          <cell r="E190">
            <v>5.9202341295896401E-3</v>
          </cell>
          <cell r="F190">
            <v>7.319188479909032E-2</v>
          </cell>
          <cell r="G190">
            <v>57.10864995237921</v>
          </cell>
          <cell r="H190">
            <v>156.62037189573834</v>
          </cell>
          <cell r="I190">
            <v>189.59566311981274</v>
          </cell>
        </row>
        <row r="191">
          <cell r="A191" t="str">
            <v>T_C-MHY-DSL-S3</v>
          </cell>
          <cell r="B191" t="str">
            <v>VAR_fout</v>
          </cell>
          <cell r="C191" t="str">
            <v>TPCAR</v>
          </cell>
          <cell r="E191">
            <v>3.394495032197244E-5</v>
          </cell>
          <cell r="F191">
            <v>4.4228695970829863E-4</v>
          </cell>
          <cell r="G191">
            <v>0.37817436935417842</v>
          </cell>
          <cell r="H191">
            <v>1.2121506495926624</v>
          </cell>
          <cell r="I191">
            <v>1.7347943105772927</v>
          </cell>
        </row>
        <row r="192">
          <cell r="A192" t="str">
            <v>T_C-MHY-DSL-S3</v>
          </cell>
          <cell r="B192" t="str">
            <v>VAR_fin</v>
          </cell>
          <cell r="C192" t="str">
            <v>TDSL</v>
          </cell>
          <cell r="E192">
            <v>8.0767177757020984E-5</v>
          </cell>
          <cell r="F192">
            <v>9.98525031365488E-4</v>
          </cell>
          <cell r="G192">
            <v>0.77910845774050741</v>
          </cell>
          <cell r="H192">
            <v>2.1367035729295876</v>
          </cell>
          <cell r="I192">
            <v>2.5865711203248609</v>
          </cell>
        </row>
        <row r="193">
          <cell r="A193" t="str">
            <v>T_C-MHY-DSL-S3</v>
          </cell>
          <cell r="B193" t="str">
            <v>VAR_ncap</v>
          </cell>
          <cell r="C193" t="str">
            <v>-</v>
          </cell>
          <cell r="E193">
            <v>2.4884949840260501E-6</v>
          </cell>
          <cell r="F193">
            <v>3.01132684312275E-5</v>
          </cell>
          <cell r="G193">
            <v>2.7396478302468101E-2</v>
          </cell>
          <cell r="H193">
            <v>6.7772197083635605E-2</v>
          </cell>
          <cell r="I193">
            <v>9.6919839045673306E-2</v>
          </cell>
        </row>
        <row r="194">
          <cell r="A194" t="str">
            <v>T_C-MHY-DSL-S3</v>
          </cell>
          <cell r="B194" t="str">
            <v>VAR_cap</v>
          </cell>
          <cell r="C194" t="str">
            <v>-</v>
          </cell>
          <cell r="E194">
            <v>2.4553652747450801E-6</v>
          </cell>
          <cell r="F194">
            <v>3.2027189345550798E-5</v>
          </cell>
          <cell r="G194">
            <v>2.6003618524673901E-2</v>
          </cell>
          <cell r="H194">
            <v>8.3349048789340893E-2</v>
          </cell>
          <cell r="I194">
            <v>0.11928352092321</v>
          </cell>
        </row>
        <row r="195">
          <cell r="A195" t="str">
            <v>T_B_c-HYBDSL-S1</v>
          </cell>
          <cell r="B195" t="str">
            <v>VAR_fout</v>
          </cell>
          <cell r="C195" t="str">
            <v>CO2_T</v>
          </cell>
          <cell r="E195">
            <v>17.517559081013601</v>
          </cell>
          <cell r="F195">
            <v>17.532107031001072</v>
          </cell>
          <cell r="G195">
            <v>3.7446069484569841E-2</v>
          </cell>
          <cell r="H195">
            <v>0.12950118149296769</v>
          </cell>
          <cell r="I195">
            <v>7.2384149739001091E-2</v>
          </cell>
        </row>
        <row r="196">
          <cell r="A196" t="str">
            <v>T_B_c-HYBDSL-S1</v>
          </cell>
          <cell r="B196" t="str">
            <v>VAR_fout</v>
          </cell>
          <cell r="C196" t="str">
            <v>TPBSc</v>
          </cell>
          <cell r="E196">
            <v>3.8838244689949994E-2</v>
          </cell>
          <cell r="F196">
            <v>3.8872366871846094E-2</v>
          </cell>
          <cell r="G196">
            <v>8.9321833772846291E-5</v>
          </cell>
          <cell r="H196">
            <v>3.4756331698354126E-4</v>
          </cell>
          <cell r="I196">
            <v>2.1155223296835153E-4</v>
          </cell>
        </row>
        <row r="197">
          <cell r="A197" t="str">
            <v>T_B_c-HYBDSL-S1</v>
          </cell>
          <cell r="B197" t="str">
            <v>VAR_fin</v>
          </cell>
          <cell r="C197" t="str">
            <v>TDSL</v>
          </cell>
          <cell r="E197">
            <v>0.23898443493879454</v>
          </cell>
          <cell r="F197">
            <v>0.23918290628923727</v>
          </cell>
          <cell r="G197">
            <v>5.1086042953028474E-4</v>
          </cell>
          <cell r="H197">
            <v>1.766728260477049E-3</v>
          </cell>
          <cell r="I197">
            <v>9.8750545346522659E-4</v>
          </cell>
        </row>
        <row r="198">
          <cell r="A198" t="str">
            <v>T_B_c-HYBDSL-S1</v>
          </cell>
          <cell r="B198" t="str">
            <v>VAR_ncap</v>
          </cell>
          <cell r="C198" t="str">
            <v>-</v>
          </cell>
          <cell r="E198">
            <v>8.4401721976717502E-4</v>
          </cell>
          <cell r="F198">
            <v>9.1876783260094096E-7</v>
          </cell>
          <cell r="G198">
            <v>1.0365179026176999E-6</v>
          </cell>
          <cell r="H198">
            <v>2.1023884057970099E-6</v>
          </cell>
          <cell r="I198">
            <v>3.3527895151310001E-6</v>
          </cell>
        </row>
        <row r="199">
          <cell r="A199" t="str">
            <v>T_B_c-HYBDSL-S1</v>
          </cell>
          <cell r="B199" t="str">
            <v>VAR_cap</v>
          </cell>
          <cell r="C199" t="str">
            <v>-</v>
          </cell>
          <cell r="E199">
            <v>8.4401721976717502E-4</v>
          </cell>
          <cell r="F199">
            <v>8.4493598759977605E-4</v>
          </cell>
          <cell r="G199">
            <v>2.3458818492429938E-6</v>
          </cell>
          <cell r="H199">
            <v>8.4910734766458396E-6</v>
          </cell>
          <cell r="I199">
            <v>5.4960720866715196E-6</v>
          </cell>
        </row>
        <row r="200">
          <cell r="A200" t="str">
            <v>T_C-MHY-DSL-S4</v>
          </cell>
          <cell r="B200" t="str">
            <v>VAR_fout</v>
          </cell>
          <cell r="C200" t="str">
            <v>CO2_T</v>
          </cell>
          <cell r="E200">
            <v>5.4493538439117899E-3</v>
          </cell>
          <cell r="F200">
            <v>2.8901428204512712E-2</v>
          </cell>
          <cell r="G200">
            <v>5.1403825617830287E-2</v>
          </cell>
          <cell r="H200">
            <v>6.4326126219973676E-2</v>
          </cell>
          <cell r="I200">
            <v>3.5189703800271539E-2</v>
          </cell>
        </row>
        <row r="201">
          <cell r="A201" t="str">
            <v>T_C-MHY-DSL-S4</v>
          </cell>
          <cell r="B201" t="str">
            <v>VAR_fout</v>
          </cell>
          <cell r="C201" t="str">
            <v>TPCAR</v>
          </cell>
          <cell r="E201">
            <v>2.9695189866345979E-5</v>
          </cell>
          <cell r="F201">
            <v>1.6497257834492161E-4</v>
          </cell>
          <cell r="G201">
            <v>3.0802456461850148E-4</v>
          </cell>
          <cell r="H201">
            <v>4.5249681045972173E-4</v>
          </cell>
          <cell r="I201">
            <v>2.8441477180857271E-4</v>
          </cell>
        </row>
        <row r="202">
          <cell r="A202" t="str">
            <v>T_C-MHY-DSL-S4</v>
          </cell>
          <cell r="B202" t="str">
            <v>VAR_fin</v>
          </cell>
          <cell r="C202" t="str">
            <v>TDSL</v>
          </cell>
          <cell r="E202">
            <v>7.4343162945590522E-5</v>
          </cell>
          <cell r="F202">
            <v>3.9428960715569847E-4</v>
          </cell>
          <cell r="G202">
            <v>7.0128002207135492E-4</v>
          </cell>
          <cell r="H202">
            <v>8.7757334542938332E-4</v>
          </cell>
          <cell r="I202">
            <v>4.8007781446482336E-4</v>
          </cell>
        </row>
        <row r="203">
          <cell r="A203" t="str">
            <v>T_C-MHY-DSL-S4</v>
          </cell>
          <cell r="B203" t="str">
            <v>VAR_ncap</v>
          </cell>
          <cell r="C203" t="str">
            <v>-</v>
          </cell>
          <cell r="E203">
            <v>2.4856181135719699E-6</v>
          </cell>
          <cell r="F203">
            <v>1.23528416996543E-5</v>
          </cell>
          <cell r="G203">
            <v>1.4135436083305599E-5</v>
          </cell>
          <cell r="H203">
            <v>1.7104769184211802E-5</v>
          </cell>
          <cell r="I203">
            <v>1.33547193694356E-5</v>
          </cell>
        </row>
        <row r="204">
          <cell r="A204" t="str">
            <v>T_C-MHY-DSL-S4</v>
          </cell>
          <cell r="B204" t="str">
            <v>VAR_cap</v>
          </cell>
          <cell r="C204" t="str">
            <v>-</v>
          </cell>
          <cell r="E204">
            <v>2.45252670450153E-6</v>
          </cell>
          <cell r="F204">
            <v>1.45005337611999E-5</v>
          </cell>
          <cell r="G204">
            <v>2.5974006032433199E-5</v>
          </cell>
          <cell r="H204">
            <v>3.9033534326259403E-5</v>
          </cell>
          <cell r="I204">
            <v>2.4788124555545501E-5</v>
          </cell>
        </row>
        <row r="205">
          <cell r="A205" t="str">
            <v>T_B_c-HYBDSL-S2</v>
          </cell>
          <cell r="B205" t="str">
            <v>VAR_fout</v>
          </cell>
          <cell r="C205" t="str">
            <v>CO2_T</v>
          </cell>
          <cell r="E205">
            <v>5.0757342808559397E-2</v>
          </cell>
          <cell r="F205">
            <v>0.47271170302791432</v>
          </cell>
          <cell r="G205">
            <v>19.160073525768297</v>
          </cell>
          <cell r="H205">
            <v>17.600196383238394</v>
          </cell>
          <cell r="I205">
            <v>16.849160847501118</v>
          </cell>
        </row>
        <row r="206">
          <cell r="A206" t="str">
            <v>T_B_c-HYBDSL-S2</v>
          </cell>
          <cell r="B206" t="str">
            <v>VAR_fout</v>
          </cell>
          <cell r="C206" t="str">
            <v>TPBSc</v>
          </cell>
          <cell r="E206">
            <v>8.0667429212803095E-5</v>
          </cell>
          <cell r="F206">
            <v>7.8502176604587301E-4</v>
          </cell>
          <cell r="G206">
            <v>3.4470881639433515E-2</v>
          </cell>
          <cell r="H206">
            <v>3.4544893204488537E-2</v>
          </cell>
          <cell r="I206">
            <v>3.5644253758626579E-2</v>
          </cell>
        </row>
        <row r="207">
          <cell r="A207" t="str">
            <v>T_B_c-HYBDSL-S2</v>
          </cell>
          <cell r="B207" t="str">
            <v>VAR_fin</v>
          </cell>
          <cell r="C207" t="str">
            <v>TDSL</v>
          </cell>
          <cell r="E207">
            <v>6.9246033845237972E-4</v>
          </cell>
          <cell r="F207">
            <v>6.4490000413085164E-3</v>
          </cell>
          <cell r="G207">
            <v>0.26139254468988088</v>
          </cell>
          <cell r="H207">
            <v>0.24011181968947382</v>
          </cell>
          <cell r="I207">
            <v>0.22986576872443532</v>
          </cell>
        </row>
        <row r="208">
          <cell r="A208" t="str">
            <v>T_B_c-HYBDSL-S2</v>
          </cell>
          <cell r="B208" t="str">
            <v>VAR_ncap</v>
          </cell>
          <cell r="C208" t="str">
            <v>-</v>
          </cell>
          <cell r="E208">
            <v>1.7820720158635E-6</v>
          </cell>
          <cell r="F208">
            <v>1.5341193712605101E-5</v>
          </cell>
          <cell r="G208">
            <v>7.3222332701970802E-4</v>
          </cell>
          <cell r="H208">
            <v>6.1440767407495804E-4</v>
          </cell>
          <cell r="I208">
            <v>4.65337508732549E-4</v>
          </cell>
        </row>
        <row r="209">
          <cell r="A209" t="str">
            <v>T_B_c-HYBDSL-S2</v>
          </cell>
          <cell r="B209" t="str">
            <v>VAR_cap</v>
          </cell>
          <cell r="C209" t="str">
            <v>-</v>
          </cell>
          <cell r="E209">
            <v>1.7820720158635E-6</v>
          </cell>
          <cell r="F209">
            <v>1.7123265728468599E-5</v>
          </cell>
          <cell r="G209">
            <v>7.4911047635280105E-4</v>
          </cell>
          <cell r="H209">
            <v>7.5078572016279129E-4</v>
          </cell>
          <cell r="I209">
            <v>7.7463973982206801E-4</v>
          </cell>
        </row>
        <row r="210">
          <cell r="A210" t="str">
            <v>T_C-BATELCEXT</v>
          </cell>
          <cell r="B210" t="str">
            <v>VAR_fout</v>
          </cell>
          <cell r="C210" t="str">
            <v>TPCAR</v>
          </cell>
          <cell r="D210">
            <v>0.41619611025192688</v>
          </cell>
          <cell r="E210">
            <v>0.3607040838977178</v>
          </cell>
          <cell r="F210">
            <v>0.27746468609361213</v>
          </cell>
          <cell r="G210">
            <v>0.13873212282326394</v>
          </cell>
        </row>
        <row r="211">
          <cell r="A211" t="str">
            <v>T_C-BATELCEXT</v>
          </cell>
          <cell r="B211" t="str">
            <v>VAR_fin</v>
          </cell>
          <cell r="C211" t="str">
            <v>T-ELC-car</v>
          </cell>
          <cell r="D211">
            <v>0.46789263428997629</v>
          </cell>
          <cell r="E211">
            <v>0.37693278565187871</v>
          </cell>
          <cell r="F211">
            <v>0.26223030317733809</v>
          </cell>
          <cell r="G211">
            <v>0.11309571404972353</v>
          </cell>
        </row>
        <row r="212">
          <cell r="A212" t="str">
            <v>T_C-BATELCEXT</v>
          </cell>
          <cell r="B212" t="str">
            <v>VAR_cap</v>
          </cell>
          <cell r="C212" t="str">
            <v>-</v>
          </cell>
          <cell r="D212">
            <v>4.2040000000000001E-2</v>
          </cell>
          <cell r="E212">
            <v>3.6434666666666699E-2</v>
          </cell>
          <cell r="F212">
            <v>2.80266666666667E-2</v>
          </cell>
          <cell r="G212">
            <v>1.40133333333333E-2</v>
          </cell>
        </row>
        <row r="213">
          <cell r="A213" t="str">
            <v>D-TDSL</v>
          </cell>
          <cell r="B213" t="str">
            <v>VAR_fout</v>
          </cell>
          <cell r="C213" t="str">
            <v>CO2</v>
          </cell>
          <cell r="D213">
            <v>8723.4873586597405</v>
          </cell>
          <cell r="E213">
            <v>7944.5329434989699</v>
          </cell>
          <cell r="F213">
            <v>6419.5145331433896</v>
          </cell>
          <cell r="G213">
            <v>4445.9033556992299</v>
          </cell>
          <cell r="H213">
            <v>3777.3099530596101</v>
          </cell>
          <cell r="I213">
            <v>3529.4084766946198</v>
          </cell>
        </row>
        <row r="214">
          <cell r="A214" t="str">
            <v>D-TDSL</v>
          </cell>
          <cell r="B214" t="str">
            <v>VAR_fout</v>
          </cell>
          <cell r="C214" t="str">
            <v>TDSL</v>
          </cell>
          <cell r="D214">
            <v>117.26174726913712</v>
          </cell>
          <cell r="E214">
            <v>106.79098574804786</v>
          </cell>
          <cell r="F214">
            <v>86.291578107091453</v>
          </cell>
          <cell r="G214">
            <v>59.762154084110179</v>
          </cell>
          <cell r="H214">
            <v>50.774873265927731</v>
          </cell>
          <cell r="I214">
            <v>47.442563711962443</v>
          </cell>
        </row>
        <row r="215">
          <cell r="A215" t="str">
            <v>D-TDSL</v>
          </cell>
          <cell r="B215" t="str">
            <v>VAR_fin</v>
          </cell>
          <cell r="C215" t="str">
            <v>DSL</v>
          </cell>
          <cell r="D215">
            <v>119.01074159153833</v>
          </cell>
          <cell r="E215">
            <v>108.38380550476082</v>
          </cell>
          <cell r="F215">
            <v>87.578643016963113</v>
          </cell>
          <cell r="G215">
            <v>60.653524634368758</v>
          </cell>
          <cell r="H215">
            <v>51.532195812545851</v>
          </cell>
          <cell r="I215">
            <v>48.15018385667971</v>
          </cell>
        </row>
        <row r="216">
          <cell r="A216" t="str">
            <v>T_B_c-HYBDSL-S3</v>
          </cell>
          <cell r="B216" t="str">
            <v>VAR_fout</v>
          </cell>
          <cell r="C216" t="str">
            <v>CO2_T</v>
          </cell>
          <cell r="E216">
            <v>1.8312577011537601E-2</v>
          </cell>
          <cell r="F216">
            <v>9.4264947594945886E-2</v>
          </cell>
          <cell r="G216">
            <v>10.050612705873611</v>
          </cell>
          <cell r="H216">
            <v>9.1129103002636409</v>
          </cell>
          <cell r="I216">
            <v>8.2175075851704698</v>
          </cell>
        </row>
        <row r="217">
          <cell r="A217" t="str">
            <v>T_B_c-HYBDSL-S3</v>
          </cell>
          <cell r="B217" t="str">
            <v>VAR_fout</v>
          </cell>
          <cell r="C217" t="str">
            <v>TPBSc</v>
          </cell>
          <cell r="E217">
            <v>1.9545697521490806E-5</v>
          </cell>
          <cell r="F217">
            <v>1.0472334219083188E-4</v>
          </cell>
          <cell r="G217">
            <v>1.2169443703045377E-2</v>
          </cell>
          <cell r="H217">
            <v>1.2114779897509195E-2</v>
          </cell>
          <cell r="I217">
            <v>1.1867744660879007E-2</v>
          </cell>
        </row>
        <row r="218">
          <cell r="A218" t="str">
            <v>T_B_c-HYBDSL-S3</v>
          </cell>
          <cell r="B218" t="str">
            <v>VAR_fin</v>
          </cell>
          <cell r="C218" t="str">
            <v>TDSL</v>
          </cell>
          <cell r="E218">
            <v>2.4983051857486527E-4</v>
          </cell>
          <cell r="F218">
            <v>1.2860156561384155E-3</v>
          </cell>
          <cell r="G218">
            <v>0.13711613514152263</v>
          </cell>
          <cell r="H218">
            <v>0.12432346930782609</v>
          </cell>
          <cell r="I218">
            <v>0.11210787974311702</v>
          </cell>
        </row>
        <row r="219">
          <cell r="A219" t="str">
            <v>T_B_c-HYBDSL-S3</v>
          </cell>
          <cell r="B219" t="str">
            <v>VAR_ncap</v>
          </cell>
          <cell r="C219" t="str">
            <v>-</v>
          </cell>
          <cell r="E219">
            <v>4.40979164596792E-7</v>
          </cell>
          <cell r="F219">
            <v>1.8692861881600701E-6</v>
          </cell>
          <cell r="G219">
            <v>2.6234387835921398E-4</v>
          </cell>
          <cell r="H219">
            <v>1.9755757587116399E-4</v>
          </cell>
          <cell r="I219">
            <v>1.90244948082324E-4</v>
          </cell>
        </row>
        <row r="220">
          <cell r="A220" t="str">
            <v>T_B_c-HYBDSL-S3</v>
          </cell>
          <cell r="B220" t="str">
            <v>VAR_cap</v>
          </cell>
          <cell r="C220" t="str">
            <v>-</v>
          </cell>
          <cell r="E220">
            <v>4.40979164596792E-7</v>
          </cell>
          <cell r="F220">
            <v>2.3102653527568602E-6</v>
          </cell>
          <cell r="G220">
            <v>2.6447444194406202E-4</v>
          </cell>
          <cell r="H220">
            <v>2.6329466124995699E-4</v>
          </cell>
          <cell r="I220">
            <v>2.57912615273505E-4</v>
          </cell>
        </row>
        <row r="221">
          <cell r="A221" t="str">
            <v>T-Bat-Car-STG_S1</v>
          </cell>
          <cell r="B221" t="str">
            <v>VAR_fout</v>
          </cell>
          <cell r="C221" t="str">
            <v>T-ELC-car-BatSTGAUXout_S1</v>
          </cell>
          <cell r="D221">
            <v>7.6212038449692413E-3</v>
          </cell>
          <cell r="E221">
            <v>0.18339845932749305</v>
          </cell>
          <cell r="F221">
            <v>0.1230511972421203</v>
          </cell>
          <cell r="G221">
            <v>0.10450831833710932</v>
          </cell>
          <cell r="H221">
            <v>0.25133062561234898</v>
          </cell>
          <cell r="I221">
            <v>1.4774631459650838</v>
          </cell>
        </row>
        <row r="222">
          <cell r="A222" t="str">
            <v>T-Bat-Car-STG_S1</v>
          </cell>
          <cell r="B222" t="str">
            <v>VAR_fout</v>
          </cell>
          <cell r="C222" t="str">
            <v>T-ELC-car-BatSTGOut_S1</v>
          </cell>
          <cell r="D222">
            <v>7.6212038449692413E-3</v>
          </cell>
          <cell r="E222">
            <v>0.18339845932749305</v>
          </cell>
          <cell r="F222">
            <v>0.1230511972421203</v>
          </cell>
          <cell r="G222">
            <v>0.10450831833710929</v>
          </cell>
          <cell r="H222">
            <v>0.25133062561234898</v>
          </cell>
          <cell r="I222">
            <v>1.4774631459650835</v>
          </cell>
        </row>
        <row r="223">
          <cell r="A223" t="str">
            <v>T-Bat-Car-STG_S1</v>
          </cell>
          <cell r="B223" t="str">
            <v>VAR_fin</v>
          </cell>
          <cell r="C223" t="str">
            <v>T-ELC-car-BatSTGAUXin_S1</v>
          </cell>
          <cell r="D223">
            <v>7.6229979379231864E-3</v>
          </cell>
          <cell r="E223">
            <v>0.18342239278905309</v>
          </cell>
          <cell r="F223">
            <v>0.12307716327794849</v>
          </cell>
          <cell r="G223">
            <v>0.10453107978259542</v>
          </cell>
          <cell r="H223">
            <v>0.2513654224494814</v>
          </cell>
          <cell r="I223">
            <v>1.4776193404596625</v>
          </cell>
        </row>
        <row r="224">
          <cell r="A224" t="str">
            <v>T-Bat-Car-STG_S1</v>
          </cell>
          <cell r="B224" t="str">
            <v>VAR_fin</v>
          </cell>
          <cell r="C224" t="str">
            <v>T-ELC-car-BatSTGin_S1</v>
          </cell>
          <cell r="D224">
            <v>7.6229979379231864E-3</v>
          </cell>
          <cell r="E224">
            <v>0.18342239278905309</v>
          </cell>
          <cell r="F224">
            <v>0.12307716327794849</v>
          </cell>
          <cell r="G224">
            <v>0.10453107978259542</v>
          </cell>
          <cell r="H224">
            <v>0.2513654224494814</v>
          </cell>
          <cell r="I224">
            <v>1.4776193404596625</v>
          </cell>
        </row>
        <row r="225">
          <cell r="A225" t="str">
            <v>T-Bat-Car-STG_S1</v>
          </cell>
          <cell r="B225" t="str">
            <v>VAR_ncap</v>
          </cell>
          <cell r="C225" t="str">
            <v>-</v>
          </cell>
          <cell r="D225">
            <v>1.92849868629407E-3</v>
          </cell>
          <cell r="E225">
            <v>2.69038218750006</v>
          </cell>
          <cell r="F225">
            <v>2.7322943397121598E-2</v>
          </cell>
          <cell r="G225">
            <v>7.3563081522897596E-3</v>
          </cell>
          <cell r="H225">
            <v>5.3797140707493503</v>
          </cell>
          <cell r="I225">
            <v>20.0101429989314</v>
          </cell>
        </row>
        <row r="226">
          <cell r="A226" t="str">
            <v>T-Bat-Car-STG_S1</v>
          </cell>
          <cell r="B226" t="str">
            <v>VAR_cap</v>
          </cell>
          <cell r="C226" t="str">
            <v>-</v>
          </cell>
          <cell r="D226">
            <v>1.92849868629407E-3</v>
          </cell>
          <cell r="E226">
            <v>2.6564370313946415</v>
          </cell>
          <cell r="F226">
            <v>2.5295741713667241</v>
          </cell>
          <cell r="G226">
            <v>2.0366077174753778</v>
          </cell>
          <cell r="H226">
            <v>5.2164011017258565</v>
          </cell>
          <cell r="I226">
            <v>19.809055803218804</v>
          </cell>
        </row>
        <row r="227">
          <cell r="A227" t="str">
            <v>T_B_c-HYBDSL-S4</v>
          </cell>
          <cell r="B227" t="str">
            <v>VAR_fout</v>
          </cell>
          <cell r="C227" t="str">
            <v>CO2_T</v>
          </cell>
          <cell r="E227">
            <v>1.888499339863E-4</v>
          </cell>
          <cell r="F227">
            <v>9.9141110950309993E-4</v>
          </cell>
          <cell r="G227">
            <v>5.7105317002444198E-4</v>
          </cell>
          <cell r="H227">
            <v>1.74552537030522E-3</v>
          </cell>
        </row>
        <row r="228">
          <cell r="A228" t="str">
            <v>T_B_c-HYBDSL-S4</v>
          </cell>
          <cell r="B228" t="str">
            <v>VAR_fout</v>
          </cell>
          <cell r="C228" t="str">
            <v>TPBSc</v>
          </cell>
          <cell r="E228">
            <v>1.3590867571175693E-7</v>
          </cell>
          <cell r="F228">
            <v>7.3449563007707772E-7</v>
          </cell>
          <cell r="G228">
            <v>4.5560508518721985E-7</v>
          </cell>
          <cell r="H228">
            <v>1.5512676053486032E-6</v>
          </cell>
        </row>
        <row r="229">
          <cell r="A229" t="str">
            <v>T_B_c-HYBDSL-S4</v>
          </cell>
          <cell r="B229" t="str">
            <v>VAR_fin</v>
          </cell>
          <cell r="C229" t="str">
            <v>TDSL</v>
          </cell>
          <cell r="E229">
            <v>2.5763974622960451E-6</v>
          </cell>
          <cell r="F229">
            <v>1.3525390306999996E-5</v>
          </cell>
          <cell r="G229">
            <v>7.7906298775503709E-6</v>
          </cell>
          <cell r="H229">
            <v>2.3813442978243104E-5</v>
          </cell>
        </row>
        <row r="230">
          <cell r="A230" t="str">
            <v>T_B_c-HYBDSL-S4</v>
          </cell>
          <cell r="B230" t="str">
            <v>VAR_ncap</v>
          </cell>
          <cell r="C230" t="str">
            <v>-</v>
          </cell>
          <cell r="E230">
            <v>1.7632057193820101E-8</v>
          </cell>
          <cell r="F230">
            <v>2.06743463770927E-8</v>
          </cell>
          <cell r="G230">
            <v>1.9867905722084899E-8</v>
          </cell>
          <cell r="H230">
            <v>2.6415032459152102E-8</v>
          </cell>
          <cell r="I230">
            <v>1.0006036896212299E-8</v>
          </cell>
        </row>
        <row r="231">
          <cell r="A231" t="str">
            <v>T_B_c-HYBDSL-S4</v>
          </cell>
          <cell r="B231" t="str">
            <v>VAR_cap</v>
          </cell>
          <cell r="C231" t="str">
            <v>-</v>
          </cell>
          <cell r="E231">
            <v>1.7632057193820101E-8</v>
          </cell>
          <cell r="F231">
            <v>3.8306403570912798E-8</v>
          </cell>
          <cell r="G231">
            <v>4.0347653913264197E-8</v>
          </cell>
          <cell r="H231">
            <v>4.9653172932772702E-8</v>
          </cell>
          <cell r="I231">
            <v>1.46415749209086E-8</v>
          </cell>
        </row>
        <row r="232">
          <cell r="A232" t="str">
            <v>TFHGV-ICEDSLExt</v>
          </cell>
          <cell r="B232" t="str">
            <v>VAR_fout</v>
          </cell>
          <cell r="C232" t="str">
            <v>CO2_T</v>
          </cell>
          <cell r="D232">
            <v>1410.2242233197701</v>
          </cell>
          <cell r="E232">
            <v>1167.2068932756199</v>
          </cell>
          <cell r="F232">
            <v>838.64766097615905</v>
          </cell>
          <cell r="G232">
            <v>356.08689426195798</v>
          </cell>
        </row>
        <row r="233">
          <cell r="A233" t="str">
            <v>TFHGV-ICEDSLExt</v>
          </cell>
          <cell r="B233" t="str">
            <v>VAR_fout</v>
          </cell>
          <cell r="C233" t="str">
            <v>TFHGV</v>
          </cell>
          <cell r="D233">
            <v>1.5767126761416983</v>
          </cell>
          <cell r="E233">
            <v>1.3375300960386018</v>
          </cell>
          <cell r="F233">
            <v>0.99608040455048352</v>
          </cell>
          <cell r="G233">
            <v>0.42293229230345358</v>
          </cell>
        </row>
        <row r="234">
          <cell r="A234" t="str">
            <v>TFHGV-ICEDSLExt</v>
          </cell>
          <cell r="B234" t="str">
            <v>VAR_fin</v>
          </cell>
          <cell r="C234" t="str">
            <v>TDSL</v>
          </cell>
          <cell r="D234">
            <v>19.239075352247855</v>
          </cell>
          <cell r="E234">
            <v>15.923695679067132</v>
          </cell>
          <cell r="F234">
            <v>11.44130506106629</v>
          </cell>
          <cell r="G234">
            <v>4.8579385301767841</v>
          </cell>
        </row>
        <row r="235">
          <cell r="A235" t="str">
            <v>TFHGV-ICEDSLExt</v>
          </cell>
          <cell r="B235" t="str">
            <v>VAR_cap</v>
          </cell>
          <cell r="C235" t="str">
            <v>-</v>
          </cell>
          <cell r="D235">
            <v>2.9662000000000001E-2</v>
          </cell>
          <cell r="E235">
            <v>2.5707066666666702E-2</v>
          </cell>
          <cell r="F235">
            <v>1.9774666666666701E-2</v>
          </cell>
          <cell r="G235">
            <v>9.8873333333333296E-3</v>
          </cell>
        </row>
        <row r="236">
          <cell r="A236" t="str">
            <v>TPSHPGSLEXT</v>
          </cell>
          <cell r="B236" t="str">
            <v>VAR_fout</v>
          </cell>
          <cell r="C236" t="str">
            <v>TPSHP</v>
          </cell>
          <cell r="D236">
            <v>1.5951113482171899</v>
          </cell>
          <cell r="E236">
            <v>2.0555836673318798E-6</v>
          </cell>
          <cell r="F236">
            <v>3.2026517647054102E-5</v>
          </cell>
          <cell r="G236">
            <v>2.6679111566197602E-5</v>
          </cell>
          <cell r="H236">
            <v>2.50124093202335E-5</v>
          </cell>
        </row>
        <row r="237">
          <cell r="A237" t="str">
            <v>TPSHPGSLEXT</v>
          </cell>
          <cell r="B237" t="str">
            <v>VAR_fout</v>
          </cell>
          <cell r="C237" t="str">
            <v>CO2_T</v>
          </cell>
          <cell r="D237">
            <v>129.873812963153</v>
          </cell>
          <cell r="E237">
            <v>1.6736542501534599E-4</v>
          </cell>
          <cell r="F237">
            <v>2.60759599472694E-3</v>
          </cell>
          <cell r="G237">
            <v>2.1722107045655898E-3</v>
          </cell>
          <cell r="H237">
            <v>2.0365079675751401E-3</v>
          </cell>
        </row>
        <row r="238">
          <cell r="A238" t="str">
            <v>TPSHPGSLEXT</v>
          </cell>
          <cell r="B238" t="str">
            <v>VAR_fin</v>
          </cell>
          <cell r="C238" t="str">
            <v>TGSL</v>
          </cell>
          <cell r="D238">
            <v>1.759807763728358</v>
          </cell>
          <cell r="E238">
            <v>2.2678241871998137E-6</v>
          </cell>
          <cell r="F238">
            <v>3.5333279061340654E-5</v>
          </cell>
          <cell r="G238">
            <v>2.9433749384357619E-5</v>
          </cell>
          <cell r="H238">
            <v>2.7594958910232197E-5</v>
          </cell>
        </row>
        <row r="239">
          <cell r="A239" t="str">
            <v>TPSHPGSLEXT</v>
          </cell>
          <cell r="B239" t="str">
            <v>VAR_ncap</v>
          </cell>
          <cell r="C239" t="str">
            <v>-</v>
          </cell>
          <cell r="D239">
            <v>3.0486265119684498E-7</v>
          </cell>
          <cell r="E239">
            <v>1.3166430985186801E-6</v>
          </cell>
          <cell r="F239">
            <v>1.9815602364575799E-6</v>
          </cell>
          <cell r="G239">
            <v>2.0434874590720202E-6</v>
          </cell>
          <cell r="H239">
            <v>4.2721966577127304E-6</v>
          </cell>
          <cell r="I239">
            <v>5.0689479797597396E-7</v>
          </cell>
        </row>
        <row r="240">
          <cell r="A240" t="str">
            <v>TPSHPGSLEXT</v>
          </cell>
          <cell r="B240" t="str">
            <v>VAR_cap</v>
          </cell>
          <cell r="C240" t="str">
            <v>-</v>
          </cell>
          <cell r="D240">
            <v>1.595111653079841</v>
          </cell>
          <cell r="E240">
            <v>1.5951129697229396</v>
          </cell>
          <cell r="F240">
            <v>3.4397757796122974E-5</v>
          </cell>
          <cell r="G240">
            <v>2.9147839365251116E-5</v>
          </cell>
          <cell r="H240">
            <v>1.9812705734589819E-5</v>
          </cell>
          <cell r="I240">
            <v>2.1007190564501791E-6</v>
          </cell>
        </row>
        <row r="241">
          <cell r="A241" t="str">
            <v>T-Bat-Car-STG_S2</v>
          </cell>
          <cell r="B241" t="str">
            <v>VAR_fout</v>
          </cell>
          <cell r="C241" t="str">
            <v>T-ELC-car-BatSTGAUXout_S2</v>
          </cell>
          <cell r="D241">
            <v>6.616106353836021E-2</v>
          </cell>
          <cell r="E241">
            <v>0.10247089944452975</v>
          </cell>
          <cell r="F241">
            <v>1.4076377972147895</v>
          </cell>
          <cell r="G241">
            <v>6.3279320158642109</v>
          </cell>
          <cell r="H241">
            <v>11.114505123274725</v>
          </cell>
          <cell r="I241">
            <v>9.4787144147496729</v>
          </cell>
        </row>
        <row r="242">
          <cell r="A242" t="str">
            <v>T-Bat-Car-STG_S2</v>
          </cell>
          <cell r="B242" t="str">
            <v>VAR_fout</v>
          </cell>
          <cell r="C242" t="str">
            <v>T-ELC-car-BatSTGOut_S2</v>
          </cell>
          <cell r="D242">
            <v>6.616106353836021E-2</v>
          </cell>
          <cell r="E242">
            <v>0.10247089944452975</v>
          </cell>
          <cell r="F242">
            <v>1.4076377972147895</v>
          </cell>
          <cell r="G242">
            <v>6.3279320158642092</v>
          </cell>
          <cell r="H242">
            <v>11.114505123274721</v>
          </cell>
          <cell r="I242">
            <v>9.4787144147496711</v>
          </cell>
        </row>
        <row r="243">
          <cell r="A243" t="str">
            <v>T-Bat-Car-STG_S2</v>
          </cell>
          <cell r="B243" t="str">
            <v>VAR_fin</v>
          </cell>
          <cell r="C243" t="str">
            <v>T-ELC-car-BatSTGAUXin_S2</v>
          </cell>
          <cell r="D243">
            <v>6.6168539828228873E-2</v>
          </cell>
          <cell r="E243">
            <v>0.10248568438960982</v>
          </cell>
          <cell r="F243">
            <v>1.4077906359390417</v>
          </cell>
          <cell r="G243">
            <v>6.3285736836466739</v>
          </cell>
          <cell r="H243">
            <v>11.115626469265875</v>
          </cell>
          <cell r="I243">
            <v>9.479670806443135</v>
          </cell>
        </row>
        <row r="244">
          <cell r="A244" t="str">
            <v>T-Bat-Car-STG_S2</v>
          </cell>
          <cell r="B244" t="str">
            <v>VAR_fin</v>
          </cell>
          <cell r="C244" t="str">
            <v>T-ELC-car-BatSTGin_S2</v>
          </cell>
          <cell r="D244">
            <v>6.6168539828228873E-2</v>
          </cell>
          <cell r="E244">
            <v>0.10248568438960982</v>
          </cell>
          <cell r="F244">
            <v>1.4077906359390417</v>
          </cell>
          <cell r="G244">
            <v>6.3285736836466739</v>
          </cell>
          <cell r="H244">
            <v>11.115626469265875</v>
          </cell>
          <cell r="I244">
            <v>9.479670806443135</v>
          </cell>
        </row>
        <row r="245">
          <cell r="A245" t="str">
            <v>T-Bat-Car-STG_S2</v>
          </cell>
          <cell r="B245" t="str">
            <v>VAR_ncap</v>
          </cell>
          <cell r="C245" t="str">
            <v>-</v>
          </cell>
          <cell r="D245">
            <v>9.4139072813784093E-3</v>
          </cell>
          <cell r="E245">
            <v>1.7995515508306401E-2</v>
          </cell>
          <cell r="F245">
            <v>20.603306761527602</v>
          </cell>
          <cell r="G245">
            <v>81.132930625816002</v>
          </cell>
          <cell r="H245">
            <v>98.674388318028306</v>
          </cell>
          <cell r="I245">
            <v>145.54923672858001</v>
          </cell>
        </row>
        <row r="246">
          <cell r="A246" t="str">
            <v>T-Bat-Car-STG_S2</v>
          </cell>
          <cell r="B246" t="str">
            <v>VAR_cap</v>
          </cell>
          <cell r="C246" t="str">
            <v>-</v>
          </cell>
          <cell r="D246">
            <v>9.4139072813784093E-3</v>
          </cell>
          <cell r="E246">
            <v>2.6898092722023637E-2</v>
          </cell>
          <cell r="F246">
            <v>20.354246827449661</v>
          </cell>
          <cell r="G246">
            <v>94.806034892219287</v>
          </cell>
          <cell r="H246">
            <v>194.04664809509239</v>
          </cell>
          <cell r="I246">
            <v>174.9067946276453</v>
          </cell>
        </row>
        <row r="247">
          <cell r="A247" t="str">
            <v>T_TW-ICEGSL-S1</v>
          </cell>
          <cell r="B247" t="str">
            <v>VAR_fout</v>
          </cell>
          <cell r="C247" t="str">
            <v>CO2_T</v>
          </cell>
          <cell r="D247">
            <v>3.270217796089097</v>
          </cell>
          <cell r="E247">
            <v>22.671125261670646</v>
          </cell>
          <cell r="F247">
            <v>35.704173180116626</v>
          </cell>
          <cell r="G247">
            <v>52.610359700851852</v>
          </cell>
          <cell r="H247">
            <v>69.082926394412766</v>
          </cell>
          <cell r="I247">
            <v>65.149421092305005</v>
          </cell>
        </row>
        <row r="248">
          <cell r="A248" t="str">
            <v>T_TW-ICEGSL-S1</v>
          </cell>
          <cell r="B248" t="str">
            <v>VAR_fout</v>
          </cell>
          <cell r="C248" t="str">
            <v>TPTWL</v>
          </cell>
          <cell r="D248">
            <v>8.4541937816369525E-2</v>
          </cell>
          <cell r="E248">
            <v>0.59074290275312125</v>
          </cell>
          <cell r="F248">
            <v>0.93556942492146433</v>
          </cell>
          <cell r="G248">
            <v>1.4027611665443493</v>
          </cell>
          <cell r="H248">
            <v>1.9301546354267687</v>
          </cell>
          <cell r="I248">
            <v>1.9067550531168702</v>
          </cell>
        </row>
        <row r="249">
          <cell r="A249" t="str">
            <v>T_TW-ICEGSL-S1</v>
          </cell>
          <cell r="B249" t="str">
            <v>VAR_fin</v>
          </cell>
          <cell r="C249" t="str">
            <v>TGSL</v>
          </cell>
          <cell r="D249">
            <v>4.4311894255949814E-2</v>
          </cell>
          <cell r="E249">
            <v>0.30719681926382947</v>
          </cell>
          <cell r="F249">
            <v>0.48379638455442536</v>
          </cell>
          <cell r="G249">
            <v>0.71287750272157002</v>
          </cell>
          <cell r="H249">
            <v>0.93608301347442746</v>
          </cell>
          <cell r="I249">
            <v>0.88278348363556924</v>
          </cell>
        </row>
        <row r="250">
          <cell r="A250" t="str">
            <v>T_TW-ICEGSL-S1</v>
          </cell>
          <cell r="B250" t="str">
            <v>VAR_ncap</v>
          </cell>
          <cell r="C250" t="str">
            <v>-</v>
          </cell>
          <cell r="E250">
            <v>0.17035331529827899</v>
          </cell>
          <cell r="F250">
            <v>0.118715568775941</v>
          </cell>
          <cell r="G250">
            <v>0.24830760312554701</v>
          </cell>
          <cell r="H250">
            <v>0.273344593252693</v>
          </cell>
          <cell r="I250">
            <v>0.58192941093697304</v>
          </cell>
        </row>
        <row r="251">
          <cell r="A251" t="str">
            <v>T_TW-ICEGSL-S1</v>
          </cell>
          <cell r="B251" t="str">
            <v>VAR_cap</v>
          </cell>
          <cell r="C251" t="str">
            <v>-</v>
          </cell>
          <cell r="D251">
            <v>2.9121747275469505E-2</v>
          </cell>
          <cell r="E251">
            <v>0.20332583927093895</v>
          </cell>
          <cell r="F251">
            <v>0.32204149288170891</v>
          </cell>
          <cell r="G251">
            <v>0.53265372081979112</v>
          </cell>
          <cell r="H251">
            <v>0.78279875503220375</v>
          </cell>
          <cell r="I251">
            <v>0.80069843948896768</v>
          </cell>
        </row>
        <row r="252">
          <cell r="A252" t="str">
            <v>TPSHPDSLEXT</v>
          </cell>
          <cell r="B252" t="str">
            <v>VAR_fout</v>
          </cell>
          <cell r="C252" t="str">
            <v>TPSHP</v>
          </cell>
          <cell r="D252">
            <v>17.176521919007701</v>
          </cell>
          <cell r="E252">
            <v>13.7091992986186</v>
          </cell>
          <cell r="F252">
            <v>7.8349244826423101</v>
          </cell>
          <cell r="G252">
            <v>3.42394267116893</v>
          </cell>
          <cell r="H252">
            <v>16.151560535757501</v>
          </cell>
          <cell r="I252">
            <v>16.1516101113546</v>
          </cell>
        </row>
        <row r="253">
          <cell r="A253" t="str">
            <v>TPSHPDSLEXT</v>
          </cell>
          <cell r="B253" t="str">
            <v>VAR_fout</v>
          </cell>
          <cell r="C253" t="str">
            <v>CO2_T</v>
          </cell>
          <cell r="D253">
            <v>1273.9831592043399</v>
          </cell>
          <cell r="E253">
            <v>1016.81173377066</v>
          </cell>
          <cell r="F253">
            <v>581.11658993538197</v>
          </cell>
          <cell r="G253">
            <v>253.95393326534</v>
          </cell>
          <cell r="H253">
            <v>1197.9617418736</v>
          </cell>
          <cell r="I253">
            <v>1197.9654188971599</v>
          </cell>
        </row>
        <row r="254">
          <cell r="A254" t="str">
            <v>TPSHPDSLEXT</v>
          </cell>
          <cell r="B254" t="str">
            <v>VAR_fin</v>
          </cell>
          <cell r="C254" t="str">
            <v>TDSL</v>
          </cell>
          <cell r="D254">
            <v>17.38039780633471</v>
          </cell>
          <cell r="E254">
            <v>13.871919969586164</v>
          </cell>
          <cell r="F254">
            <v>7.9279207358169206</v>
          </cell>
          <cell r="G254">
            <v>3.4645829913416315</v>
          </cell>
          <cell r="H254">
            <v>16.343270694046282</v>
          </cell>
          <cell r="I254">
            <v>16.343320858078588</v>
          </cell>
        </row>
        <row r="255">
          <cell r="A255" t="str">
            <v>TPSHPDSLEXT</v>
          </cell>
          <cell r="B255" t="str">
            <v>VAR_ncap</v>
          </cell>
          <cell r="C255" t="str">
            <v>-</v>
          </cell>
          <cell r="D255">
            <v>2.45775392107562E-7</v>
          </cell>
          <cell r="E255">
            <v>2.4279976631427801E-6</v>
          </cell>
          <cell r="F255">
            <v>1.6397106544494499E-6</v>
          </cell>
          <cell r="G255">
            <v>1.2245213785787699E-6</v>
          </cell>
          <cell r="H255">
            <v>14.296414476028</v>
          </cell>
          <cell r="I255">
            <v>1.8551814436051499</v>
          </cell>
        </row>
        <row r="256">
          <cell r="A256" t="str">
            <v>TPSHPDSLEXT</v>
          </cell>
          <cell r="B256" t="str">
            <v>VAR_cap</v>
          </cell>
          <cell r="C256" t="str">
            <v>-</v>
          </cell>
          <cell r="D256">
            <v>17.176522164783094</v>
          </cell>
          <cell r="E256">
            <v>17.176524592780755</v>
          </cell>
          <cell r="F256">
            <v>15.301524705439261</v>
          </cell>
          <cell r="G256">
            <v>10.301525087114879</v>
          </cell>
          <cell r="H256">
            <v>16.151554315119398</v>
          </cell>
          <cell r="I256">
            <v>16.151596870948811</v>
          </cell>
        </row>
        <row r="257">
          <cell r="A257" t="str">
            <v>T-Bat-Car-STG_S3</v>
          </cell>
          <cell r="B257" t="str">
            <v>VAR_fout</v>
          </cell>
          <cell r="C257" t="str">
            <v>T-ELC-car-BatSTGAUXout_S3</v>
          </cell>
          <cell r="D257">
            <v>4.5853655204512039E-2</v>
          </cell>
          <cell r="E257">
            <v>6.9802174488808488E-2</v>
          </cell>
          <cell r="F257">
            <v>9.0298006648036264E-2</v>
          </cell>
          <cell r="G257">
            <v>2.2781278083304994</v>
          </cell>
          <cell r="H257">
            <v>4.3288657131574233</v>
          </cell>
          <cell r="I257">
            <v>3.5905962337384061</v>
          </cell>
        </row>
        <row r="258">
          <cell r="A258" t="str">
            <v>T-Bat-Car-STG_S3</v>
          </cell>
          <cell r="B258" t="str">
            <v>VAR_fout</v>
          </cell>
          <cell r="C258" t="str">
            <v>T-ELC-car-BatSTGOut_S3</v>
          </cell>
          <cell r="D258">
            <v>4.5853655204512032E-2</v>
          </cell>
          <cell r="E258">
            <v>6.9802174488808488E-2</v>
          </cell>
          <cell r="F258">
            <v>9.0298006648036264E-2</v>
          </cell>
          <cell r="G258">
            <v>2.278127808330499</v>
          </cell>
          <cell r="H258">
            <v>4.3288657131574233</v>
          </cell>
          <cell r="I258">
            <v>3.5905962337384061</v>
          </cell>
        </row>
        <row r="259">
          <cell r="A259" t="str">
            <v>T-Bat-Car-STG_S3</v>
          </cell>
          <cell r="B259" t="str">
            <v>VAR_fin</v>
          </cell>
          <cell r="C259" t="str">
            <v>T-ELC-car-BatSTGAUXin_S3</v>
          </cell>
          <cell r="D259">
            <v>4.5858899226197583E-2</v>
          </cell>
          <cell r="E259">
            <v>6.981363757407158E-2</v>
          </cell>
          <cell r="F259">
            <v>9.0317237020908048E-2</v>
          </cell>
          <cell r="G259">
            <v>2.2783644497119093</v>
          </cell>
          <cell r="H259">
            <v>4.3293077930983461</v>
          </cell>
          <cell r="I259">
            <v>3.5909636846827593</v>
          </cell>
        </row>
        <row r="260">
          <cell r="A260" t="str">
            <v>T-Bat-Car-STG_S3</v>
          </cell>
          <cell r="B260" t="str">
            <v>VAR_fin</v>
          </cell>
          <cell r="C260" t="str">
            <v>T-ELC-car-BatSTGin_S3</v>
          </cell>
          <cell r="D260">
            <v>4.5858899226197583E-2</v>
          </cell>
          <cell r="E260">
            <v>6.981363757407158E-2</v>
          </cell>
          <cell r="F260">
            <v>9.0317237020908048E-2</v>
          </cell>
          <cell r="G260">
            <v>2.2783644497119093</v>
          </cell>
          <cell r="H260">
            <v>4.3293077930983461</v>
          </cell>
          <cell r="I260">
            <v>3.5909636846827593</v>
          </cell>
        </row>
        <row r="261">
          <cell r="A261" t="str">
            <v>T-Bat-Car-STG_S3</v>
          </cell>
          <cell r="B261" t="str">
            <v>VAR_ncap</v>
          </cell>
          <cell r="C261" t="str">
            <v>-</v>
          </cell>
          <cell r="D261">
            <v>7.2547650273136702E-3</v>
          </cell>
          <cell r="E261">
            <v>4.1208901521332601E-2</v>
          </cell>
          <cell r="F261">
            <v>0.34290366877121398</v>
          </cell>
          <cell r="G261">
            <v>33.459259486835201</v>
          </cell>
          <cell r="H261">
            <v>14.819700509767101</v>
          </cell>
          <cell r="I261">
            <v>35.937437713761398</v>
          </cell>
        </row>
        <row r="262">
          <cell r="A262" t="str">
            <v>T-Bat-Car-STG_S3</v>
          </cell>
          <cell r="B262" t="str">
            <v>VAR_cap</v>
          </cell>
          <cell r="C262" t="str">
            <v>-</v>
          </cell>
          <cell r="D262">
            <v>7.2547650273136702E-3</v>
          </cell>
          <cell r="E262">
            <v>4.7705442253810806E-2</v>
          </cell>
          <cell r="F262">
            <v>0.38321515470239442</v>
          </cell>
          <cell r="G262">
            <v>32.057127211825915</v>
          </cell>
          <cell r="H262">
            <v>63.616791546763352</v>
          </cell>
          <cell r="I262">
            <v>48.844657219202801</v>
          </cell>
        </row>
        <row r="263">
          <cell r="A263" t="str">
            <v>T_TW-ICEGSL-S2</v>
          </cell>
          <cell r="B263" t="str">
            <v>VAR_fout</v>
          </cell>
          <cell r="C263" t="str">
            <v>CO2_T</v>
          </cell>
          <cell r="D263">
            <v>8.2966135391093303</v>
          </cell>
          <cell r="E263">
            <v>12.0213933036977</v>
          </cell>
          <cell r="F263">
            <v>11.89142360974521</v>
          </cell>
          <cell r="G263">
            <v>7.4781316339045949</v>
          </cell>
          <cell r="H263">
            <v>2.0359717638570231E-2</v>
          </cell>
          <cell r="I263">
            <v>1.1901553091567089E-2</v>
          </cell>
        </row>
        <row r="264">
          <cell r="A264" t="str">
            <v>T_TW-ICEGSL-S2</v>
          </cell>
          <cell r="B264" t="str">
            <v>VAR_fout</v>
          </cell>
          <cell r="C264" t="str">
            <v>TPTWL</v>
          </cell>
          <cell r="D264">
            <v>0.12397287682497615</v>
          </cell>
          <cell r="E264">
            <v>0.1798799415763275</v>
          </cell>
          <cell r="F264">
            <v>0.1779395154844369</v>
          </cell>
          <cell r="G264">
            <v>0.11192870316488703</v>
          </cell>
          <cell r="H264">
            <v>3.2612599435550844E-4</v>
          </cell>
          <cell r="I264">
            <v>1.961230450316919E-4</v>
          </cell>
        </row>
        <row r="265">
          <cell r="A265" t="str">
            <v>T_TW-ICEGSL-S2</v>
          </cell>
          <cell r="B265" t="str">
            <v>VAR_fin</v>
          </cell>
          <cell r="C265" t="str">
            <v>TGSL</v>
          </cell>
          <cell r="D265">
            <v>0.11242023765730789</v>
          </cell>
          <cell r="E265">
            <v>0.16289150818018575</v>
          </cell>
          <cell r="F265">
            <v>0.16113040121606004</v>
          </cell>
          <cell r="G265">
            <v>0.10132969693637649</v>
          </cell>
          <cell r="H265">
            <v>2.7587693277195428E-4</v>
          </cell>
          <cell r="I265">
            <v>1.6126765706730471E-4</v>
          </cell>
        </row>
        <row r="266">
          <cell r="A266" t="str">
            <v>T_TW-ICEGSL-S2</v>
          </cell>
          <cell r="B266" t="str">
            <v>VAR_ncap</v>
          </cell>
          <cell r="C266" t="str">
            <v>-</v>
          </cell>
          <cell r="E266">
            <v>2.5902201349294199E-5</v>
          </cell>
          <cell r="F266">
            <v>4.3576072088133102E-5</v>
          </cell>
          <cell r="G266">
            <v>4.8418833116662398E-5</v>
          </cell>
          <cell r="H266">
            <v>4.4398018478929999E-5</v>
          </cell>
          <cell r="I266">
            <v>2.8022841441898001E-5</v>
          </cell>
        </row>
        <row r="267">
          <cell r="A267" t="str">
            <v>T_TW-ICEGSL-S2</v>
          </cell>
          <cell r="B267" t="str">
            <v>VAR_cap</v>
          </cell>
          <cell r="C267" t="str">
            <v>-</v>
          </cell>
          <cell r="D267">
            <v>4.2720436811799829E-2</v>
          </cell>
          <cell r="E267">
            <v>6.1912920923260152E-2</v>
          </cell>
          <cell r="F267">
            <v>6.195716207655632E-2</v>
          </cell>
          <cell r="G267">
            <v>5.3710587461482856E-2</v>
          </cell>
          <cell r="H267">
            <v>1.2926864531020144E-4</v>
          </cell>
          <cell r="I267">
            <v>7.7463007813424482E-5</v>
          </cell>
        </row>
        <row r="268">
          <cell r="A268" t="str">
            <v>T-Bat-Car-STG_S4</v>
          </cell>
          <cell r="B268" t="str">
            <v>VAR_fout</v>
          </cell>
          <cell r="C268" t="str">
            <v>T-ELC-car-BatSTGAUXout_S4</v>
          </cell>
          <cell r="D268">
            <v>0.14933862880240392</v>
          </cell>
          <cell r="E268">
            <v>0.78110796160475382</v>
          </cell>
          <cell r="F268">
            <v>1.7370547309959801</v>
          </cell>
          <cell r="G268">
            <v>1.4900753770596706</v>
          </cell>
          <cell r="H268">
            <v>3.4657805482137931</v>
          </cell>
          <cell r="I268">
            <v>5.8196530238453716</v>
          </cell>
        </row>
        <row r="269">
          <cell r="A269" t="str">
            <v>T-Bat-Car-STG_S4</v>
          </cell>
          <cell r="B269" t="str">
            <v>VAR_fout</v>
          </cell>
          <cell r="C269" t="str">
            <v>T-ELC-car-BatSTGOut_S4</v>
          </cell>
          <cell r="D269">
            <v>0.14933862880240389</v>
          </cell>
          <cell r="E269">
            <v>0.78110796160475382</v>
          </cell>
          <cell r="F269">
            <v>1.7370547309959801</v>
          </cell>
          <cell r="G269">
            <v>1.4900753770596706</v>
          </cell>
          <cell r="H269">
            <v>3.4657805482137927</v>
          </cell>
          <cell r="I269">
            <v>5.8196530238453716</v>
          </cell>
        </row>
        <row r="270">
          <cell r="A270" t="str">
            <v>T-Bat-Car-STG_S4</v>
          </cell>
          <cell r="B270" t="str">
            <v>VAR_fin</v>
          </cell>
          <cell r="C270" t="str">
            <v>T-ELC-car-BatSTGAUXin_S4</v>
          </cell>
          <cell r="D270">
            <v>0.14935415416361786</v>
          </cell>
          <cell r="E270">
            <v>0.78119055689712547</v>
          </cell>
          <cell r="F270">
            <v>1.7372383091511472</v>
          </cell>
          <cell r="G270">
            <v>1.4902332545186929</v>
          </cell>
          <cell r="H270">
            <v>3.4661358028362295</v>
          </cell>
          <cell r="I270">
            <v>5.8202431918930895</v>
          </cell>
        </row>
        <row r="271">
          <cell r="A271" t="str">
            <v>T-Bat-Car-STG_S4</v>
          </cell>
          <cell r="B271" t="str">
            <v>VAR_fin</v>
          </cell>
          <cell r="C271" t="str">
            <v>T-ELC-car-BatSTGin_S4</v>
          </cell>
          <cell r="D271">
            <v>0.14935415416361786</v>
          </cell>
          <cell r="E271">
            <v>0.78119055689712547</v>
          </cell>
          <cell r="F271">
            <v>1.7372383091511472</v>
          </cell>
          <cell r="G271">
            <v>1.4902332545186929</v>
          </cell>
          <cell r="H271">
            <v>3.4661358028362295</v>
          </cell>
          <cell r="I271">
            <v>5.8202431918930895</v>
          </cell>
        </row>
        <row r="272">
          <cell r="A272" t="str">
            <v>T-Bat-Car-STG_S4</v>
          </cell>
          <cell r="B272" t="str">
            <v>VAR_ncap</v>
          </cell>
          <cell r="C272" t="str">
            <v>-</v>
          </cell>
          <cell r="D272">
            <v>2.2143878973122099E-2</v>
          </cell>
          <cell r="E272">
            <v>8.3512000817291003</v>
          </cell>
          <cell r="F272">
            <v>16.206348896822998</v>
          </cell>
          <cell r="G272">
            <v>0.170125214687671</v>
          </cell>
          <cell r="H272">
            <v>5.7680135839720101</v>
          </cell>
          <cell r="I272">
            <v>95.234434921200204</v>
          </cell>
        </row>
        <row r="273">
          <cell r="A273" t="str">
            <v>T-Bat-Car-STG_S4</v>
          </cell>
          <cell r="B273" t="str">
            <v>VAR_cap</v>
          </cell>
          <cell r="C273" t="str">
            <v>-</v>
          </cell>
          <cell r="D273">
            <v>2.2143878973122099E-2</v>
          </cell>
          <cell r="E273">
            <v>8.2615189582549906</v>
          </cell>
          <cell r="F273">
            <v>23.774260899527885</v>
          </cell>
          <cell r="G273">
            <v>20.452070369051309</v>
          </cell>
          <cell r="H273">
            <v>55.486571035803408</v>
          </cell>
          <cell r="I273">
            <v>98.351844662361415</v>
          </cell>
        </row>
        <row r="274">
          <cell r="A274" t="str">
            <v>T_TW-ICEGSL-S3</v>
          </cell>
          <cell r="B274" t="str">
            <v>VAR_fout</v>
          </cell>
          <cell r="C274" t="str">
            <v>CO2_T</v>
          </cell>
          <cell r="D274">
            <v>7.9929752700564798</v>
          </cell>
          <cell r="E274">
            <v>0.99820290730985473</v>
          </cell>
          <cell r="F274">
            <v>1.0285869862402492</v>
          </cell>
          <cell r="G274">
            <v>1.0079878611240771</v>
          </cell>
          <cell r="H274">
            <v>0.47576285919533234</v>
          </cell>
          <cell r="I274">
            <v>1.133132390345196E-2</v>
          </cell>
        </row>
        <row r="275">
          <cell r="A275" t="str">
            <v>T_TW-ICEGSL-S3</v>
          </cell>
          <cell r="B275" t="str">
            <v>VAR_fout</v>
          </cell>
          <cell r="C275" t="str">
            <v>TPTWL</v>
          </cell>
          <cell r="D275">
            <v>7.9001244118426475E-2</v>
          </cell>
          <cell r="E275">
            <v>9.9012925630694512E-3</v>
          </cell>
          <cell r="F275">
            <v>1.020315793265409E-2</v>
          </cell>
          <cell r="G275">
            <v>1.0001330925625237E-2</v>
          </cell>
          <cell r="H275">
            <v>4.7305265994132184E-3</v>
          </cell>
          <cell r="I275">
            <v>1.2206899131718014E-4</v>
          </cell>
        </row>
        <row r="276">
          <cell r="A276" t="str">
            <v>T_TW-ICEGSL-S3</v>
          </cell>
          <cell r="B276" t="str">
            <v>VAR_fin</v>
          </cell>
          <cell r="C276" t="str">
            <v>TGSL</v>
          </cell>
          <cell r="D276">
            <v>0.10830589796824498</v>
          </cell>
          <cell r="E276">
            <v>1.3525784651895058E-2</v>
          </cell>
          <cell r="F276">
            <v>1.3937493038485767E-2</v>
          </cell>
          <cell r="G276">
            <v>1.3658372101952254E-2</v>
          </cell>
          <cell r="H276">
            <v>6.4466512086088406E-3</v>
          </cell>
          <cell r="I276">
            <v>1.5354097430151709E-4</v>
          </cell>
        </row>
        <row r="277">
          <cell r="A277" t="str">
            <v>T_TW-ICEGSL-S3</v>
          </cell>
          <cell r="B277" t="str">
            <v>VAR_ncap</v>
          </cell>
          <cell r="C277" t="str">
            <v>-</v>
          </cell>
          <cell r="E277">
            <v>1.2512898671032801E-5</v>
          </cell>
          <cell r="F277">
            <v>1.9589200001929601E-5</v>
          </cell>
          <cell r="G277">
            <v>2.11361329298693E-5</v>
          </cell>
          <cell r="H277">
            <v>1.5035413323970499E-5</v>
          </cell>
          <cell r="I277">
            <v>1.1861946130143E-5</v>
          </cell>
        </row>
        <row r="278">
          <cell r="A278" t="str">
            <v>T_TW-ICEGSL-S3</v>
          </cell>
          <cell r="B278" t="str">
            <v>VAR_cap</v>
          </cell>
          <cell r="C278" t="str">
            <v>-</v>
          </cell>
          <cell r="D278">
            <v>3.4818077450013397E-2</v>
          </cell>
          <cell r="E278">
            <v>4.6900997026223246E-3</v>
          </cell>
          <cell r="F278">
            <v>4.7104630390522595E-3</v>
          </cell>
          <cell r="G278">
            <v>4.7323402952107324E-3</v>
          </cell>
          <cell r="H278">
            <v>2.214565456123559E-3</v>
          </cell>
          <cell r="I278">
            <v>4.8008430233733444E-5</v>
          </cell>
        </row>
        <row r="279">
          <cell r="A279" t="str">
            <v>T_C-ICEGSLEXT</v>
          </cell>
          <cell r="B279" t="str">
            <v>VAR_fout</v>
          </cell>
          <cell r="C279" t="str">
            <v>CO2_T</v>
          </cell>
          <cell r="D279">
            <v>4722.2882910826502</v>
          </cell>
          <cell r="E279">
            <v>4316.35905480171</v>
          </cell>
          <cell r="F279">
            <v>3016.9367556617599</v>
          </cell>
          <cell r="G279">
            <v>812.819908797322</v>
          </cell>
        </row>
        <row r="280">
          <cell r="A280" t="str">
            <v>T_C-ICEGSLEXT</v>
          </cell>
          <cell r="B280" t="str">
            <v>VAR_fout</v>
          </cell>
          <cell r="C280" t="str">
            <v>TPCAR</v>
          </cell>
          <cell r="D280">
            <v>18.302988284882307</v>
          </cell>
          <cell r="E280">
            <v>17.110360195950971</v>
          </cell>
          <cell r="F280">
            <v>12.358495781557163</v>
          </cell>
          <cell r="G280">
            <v>3.5088392191378741</v>
          </cell>
        </row>
        <row r="281">
          <cell r="A281" t="str">
            <v>T_C-ICEGSLEXT</v>
          </cell>
          <cell r="B281" t="str">
            <v>VAR_fin</v>
          </cell>
          <cell r="C281" t="str">
            <v>TGSL</v>
          </cell>
          <cell r="D281">
            <v>63.987646220632186</v>
          </cell>
          <cell r="E281">
            <v>58.487250065063911</v>
          </cell>
          <cell r="F281">
            <v>40.879901838235249</v>
          </cell>
          <cell r="G281">
            <v>11.013819902402735</v>
          </cell>
        </row>
        <row r="282">
          <cell r="A282" t="str">
            <v>T_C-ICEGSLEXT</v>
          </cell>
          <cell r="B282" t="str">
            <v>VAR_cap</v>
          </cell>
          <cell r="C282" t="str">
            <v>-</v>
          </cell>
          <cell r="D282">
            <v>2.4943270000000002</v>
          </cell>
          <cell r="E282">
            <v>2.16175006666667</v>
          </cell>
          <cell r="F282">
            <v>1.662882483694081</v>
          </cell>
          <cell r="G282">
            <v>0.83144209957745607</v>
          </cell>
        </row>
        <row r="283">
          <cell r="A283" t="str">
            <v>T_TW-ICEGSL-S4</v>
          </cell>
          <cell r="B283" t="str">
            <v>VAR_fout</v>
          </cell>
          <cell r="C283" t="str">
            <v>CO2_T</v>
          </cell>
          <cell r="D283">
            <v>3.2102038061677822</v>
          </cell>
          <cell r="E283">
            <v>2.898480277609905</v>
          </cell>
          <cell r="F283">
            <v>2.9431060791069741</v>
          </cell>
          <cell r="G283">
            <v>2.9108584761919309</v>
          </cell>
          <cell r="H283">
            <v>2.8963705101047035</v>
          </cell>
          <cell r="I283">
            <v>0.41002139879252064</v>
          </cell>
        </row>
        <row r="284">
          <cell r="A284" t="str">
            <v>T_TW-ICEGSL-S4</v>
          </cell>
          <cell r="B284" t="str">
            <v>VAR_fout</v>
          </cell>
          <cell r="C284" t="str">
            <v>TPTWL</v>
          </cell>
          <cell r="D284">
            <v>2.9396491572115765E-2</v>
          </cell>
          <cell r="E284">
            <v>2.6618653682114492E-2</v>
          </cell>
          <cell r="F284">
            <v>2.7028452251828445E-2</v>
          </cell>
          <cell r="G284">
            <v>2.6733645418084376E-2</v>
          </cell>
          <cell r="H284">
            <v>2.6604145978160704E-2</v>
          </cell>
          <cell r="I284">
            <v>3.774027946430419E-3</v>
          </cell>
        </row>
        <row r="285">
          <cell r="A285" t="str">
            <v>T_TW-ICEGSL-S4</v>
          </cell>
          <cell r="B285" t="str">
            <v>VAR_fin</v>
          </cell>
          <cell r="C285" t="str">
            <v>TGSL</v>
          </cell>
          <cell r="D285">
            <v>4.3498696560539118E-2</v>
          </cell>
          <cell r="E285">
            <v>3.927480050961938E-2</v>
          </cell>
          <cell r="F285">
            <v>3.9879486166761263E-2</v>
          </cell>
          <cell r="G285">
            <v>3.9442526777668491E-2</v>
          </cell>
          <cell r="H285">
            <v>3.9246212874047483E-2</v>
          </cell>
          <cell r="I285">
            <v>5.5558455120937765E-3</v>
          </cell>
        </row>
        <row r="286">
          <cell r="A286" t="str">
            <v>T_TW-ICEGSL-S4</v>
          </cell>
          <cell r="B286" t="str">
            <v>VAR_ncap</v>
          </cell>
          <cell r="C286" t="str">
            <v>-</v>
          </cell>
          <cell r="E286">
            <v>7.5568213852966701E-6</v>
          </cell>
          <cell r="F286">
            <v>1.0066050766776901E-5</v>
          </cell>
          <cell r="G286">
            <v>8.7736446022991898E-6</v>
          </cell>
          <cell r="H286">
            <v>7.3208855718902604E-6</v>
          </cell>
          <cell r="I286">
            <v>5.6722956174287202E-6</v>
          </cell>
        </row>
        <row r="287">
          <cell r="A287" t="str">
            <v>T_TW-ICEGSL-S4</v>
          </cell>
          <cell r="B287" t="str">
            <v>VAR_cap</v>
          </cell>
          <cell r="C287" t="str">
            <v>-</v>
          </cell>
          <cell r="D287">
            <v>1.3333848717948103E-2</v>
          </cell>
          <cell r="E287">
            <v>1.2778869810754202E-2</v>
          </cell>
          <cell r="F287">
            <v>1.2789722660561078E-2</v>
          </cell>
          <cell r="G287">
            <v>1.2799240194634375E-2</v>
          </cell>
          <cell r="H287">
            <v>1.2705939069886187E-2</v>
          </cell>
          <cell r="I287">
            <v>1.7881385308542053E-3</v>
          </cell>
        </row>
        <row r="288">
          <cell r="A288" t="str">
            <v>T_C-ICEDSLEXT</v>
          </cell>
          <cell r="B288" t="str">
            <v>VAR_fout</v>
          </cell>
          <cell r="C288" t="str">
            <v>CO2_T</v>
          </cell>
          <cell r="D288">
            <v>3865.8782724269199</v>
          </cell>
          <cell r="E288">
            <v>3569.7775476431202</v>
          </cell>
          <cell r="F288">
            <v>2582.9073908804298</v>
          </cell>
          <cell r="G288">
            <v>1175.14807507618</v>
          </cell>
        </row>
        <row r="289">
          <cell r="A289" t="str">
            <v>T_C-ICEDSLEXT</v>
          </cell>
          <cell r="B289" t="str">
            <v>VAR_fout</v>
          </cell>
          <cell r="C289" t="str">
            <v>TPCAR</v>
          </cell>
          <cell r="D289">
            <v>17.880003465646681</v>
          </cell>
          <cell r="E289">
            <v>17.235951170310958</v>
          </cell>
          <cell r="F289">
            <v>13.258381789693543</v>
          </cell>
          <cell r="G289">
            <v>6.6292035956134514</v>
          </cell>
        </row>
        <row r="290">
          <cell r="A290" t="str">
            <v>T_C-ICEDSLEXT</v>
          </cell>
          <cell r="B290" t="str">
            <v>VAR_fin</v>
          </cell>
          <cell r="C290" t="str">
            <v>TDSL</v>
          </cell>
          <cell r="D290">
            <v>52.740494848934766</v>
          </cell>
          <cell r="E290">
            <v>48.700921523098529</v>
          </cell>
          <cell r="F290">
            <v>35.237481458123256</v>
          </cell>
          <cell r="G290">
            <v>16.032033766387226</v>
          </cell>
        </row>
        <row r="291">
          <cell r="A291" t="str">
            <v>T_C-ICEDSLEXT</v>
          </cell>
          <cell r="B291" t="str">
            <v>VAR_cap</v>
          </cell>
          <cell r="C291" t="str">
            <v>-</v>
          </cell>
          <cell r="D291">
            <v>1.059558</v>
          </cell>
          <cell r="E291">
            <v>0.91828359999999998</v>
          </cell>
          <cell r="F291">
            <v>0.70637039551340952</v>
          </cell>
          <cell r="G291">
            <v>0.35318554147000447</v>
          </cell>
        </row>
        <row r="292">
          <cell r="A292" t="str">
            <v>T-Plg-ELC-GSL_S1</v>
          </cell>
          <cell r="B292" t="str">
            <v>VAR_fout</v>
          </cell>
          <cell r="C292" t="str">
            <v>T-PEVmix-ELC_GSL_S1</v>
          </cell>
          <cell r="E292">
            <v>1.2876215376761438E-4</v>
          </cell>
          <cell r="F292">
            <v>1.3160188179948954E-4</v>
          </cell>
          <cell r="G292">
            <v>1.8882192917809898E-4</v>
          </cell>
          <cell r="H292">
            <v>1.3808868198192788E-4</v>
          </cell>
          <cell r="I292">
            <v>1.2998653407787734E-4</v>
          </cell>
        </row>
        <row r="293">
          <cell r="A293" t="str">
            <v>T-Plg-ELC-GSL_S1</v>
          </cell>
          <cell r="B293" t="str">
            <v>VAR_fin</v>
          </cell>
          <cell r="C293" t="str">
            <v>T-ELC-car-PlgSTGOut_S1</v>
          </cell>
          <cell r="E293">
            <v>7.0693644595910268E-5</v>
          </cell>
          <cell r="F293">
            <v>7.2252726347499601E-5</v>
          </cell>
          <cell r="G293">
            <v>1.036679642476439E-4</v>
          </cell>
          <cell r="H293">
            <v>7.2363980826739379E-5</v>
          </cell>
          <cell r="I293">
            <v>6.3867661968877517E-5</v>
          </cell>
        </row>
        <row r="294">
          <cell r="A294" t="str">
            <v>T-Plg-ELC-GSL_S2</v>
          </cell>
          <cell r="B294" t="str">
            <v>VAR_fout</v>
          </cell>
          <cell r="C294" t="str">
            <v>T-PEVmix-ELC_GSL_S2</v>
          </cell>
          <cell r="D294">
            <v>8.1424525377448342E-4</v>
          </cell>
          <cell r="E294">
            <v>1.1959481677661619E-2</v>
          </cell>
          <cell r="F294">
            <v>1.7056886225430971E-3</v>
          </cell>
          <cell r="G294">
            <v>5.7810844993754782E-3</v>
          </cell>
          <cell r="H294">
            <v>5.1785523421378368E-4</v>
          </cell>
          <cell r="I294">
            <v>4.2419344195429462E-4</v>
          </cell>
        </row>
        <row r="295">
          <cell r="A295" t="str">
            <v>T-Plg-ELC-GSL_S2</v>
          </cell>
          <cell r="B295" t="str">
            <v>VAR_fin</v>
          </cell>
          <cell r="C295" t="str">
            <v>T-ELC-car-PlgSTGOut_S2</v>
          </cell>
          <cell r="D295">
            <v>5.4169731066015781E-4</v>
          </cell>
          <cell r="E295">
            <v>7.9563485714502172E-3</v>
          </cell>
          <cell r="F295">
            <v>1.1347526256642194E-3</v>
          </cell>
          <cell r="G295">
            <v>3.8460131164340353E-3</v>
          </cell>
          <cell r="H295">
            <v>3.2741623731318302E-4</v>
          </cell>
          <cell r="I295">
            <v>2.4898273806117952E-4</v>
          </cell>
        </row>
        <row r="296">
          <cell r="A296" t="str">
            <v>T-Plg-ELC-DSL_S1</v>
          </cell>
          <cell r="B296" t="str">
            <v>VAR_fout</v>
          </cell>
          <cell r="C296" t="str">
            <v>T-PEVmix-ELC_DSL_S1</v>
          </cell>
          <cell r="E296">
            <v>1.961977830837747E-4</v>
          </cell>
          <cell r="F296">
            <v>1.8280444727472399E-4</v>
          </cell>
          <cell r="G296">
            <v>2.5781442406620433E-4</v>
          </cell>
          <cell r="H296">
            <v>1.3732035715962633E-4</v>
          </cell>
          <cell r="I296">
            <v>1.2783873742632754E-4</v>
          </cell>
        </row>
        <row r="297">
          <cell r="A297" t="str">
            <v>T-Plg-ELC-DSL_S1</v>
          </cell>
          <cell r="B297" t="str">
            <v>VAR_fin</v>
          </cell>
          <cell r="C297" t="str">
            <v>T-ELC-car-PlgSTGOut_S1</v>
          </cell>
          <cell r="E297">
            <v>1.0771749261713853E-4</v>
          </cell>
          <cell r="F297">
            <v>1.0036421609966491E-4</v>
          </cell>
          <cell r="G297">
            <v>1.4154657042727737E-4</v>
          </cell>
          <cell r="H297">
            <v>7.1962656564735129E-5</v>
          </cell>
          <cell r="I297">
            <v>6.2827602121404291E-5</v>
          </cell>
        </row>
        <row r="298">
          <cell r="A298" t="str">
            <v>T_TRM_ELC</v>
          </cell>
          <cell r="B298" t="str">
            <v>VAR_fout</v>
          </cell>
          <cell r="C298" t="str">
            <v>TPTRM</v>
          </cell>
          <cell r="D298">
            <v>3.3477999999999994E-2</v>
          </cell>
          <cell r="E298">
            <v>3.4100101820365179E-2</v>
          </cell>
          <cell r="F298">
            <v>3.5370833501607003E-2</v>
          </cell>
          <cell r="G298">
            <v>3.726366700321395E-2</v>
          </cell>
          <cell r="H298">
            <v>3.9048512196511807E-2</v>
          </cell>
          <cell r="I298">
            <v>4.0347931071859175E-2</v>
          </cell>
        </row>
        <row r="299">
          <cell r="A299" t="str">
            <v>T_TRM_ELC</v>
          </cell>
          <cell r="B299" t="str">
            <v>VAR_fin</v>
          </cell>
          <cell r="C299" t="str">
            <v>TELC</v>
          </cell>
          <cell r="D299">
            <v>0.58772895164057959</v>
          </cell>
          <cell r="E299">
            <v>0.6125507323013607</v>
          </cell>
          <cell r="F299">
            <v>0.65830556959273911</v>
          </cell>
          <cell r="G299">
            <v>0.7379148962536346</v>
          </cell>
          <cell r="H299">
            <v>0.77325934733858914</v>
          </cell>
          <cell r="I299">
            <v>0.79899112903654423</v>
          </cell>
        </row>
        <row r="300">
          <cell r="A300" t="str">
            <v>T-Plg-ELC-GSL_S3</v>
          </cell>
          <cell r="B300" t="str">
            <v>VAR_fout</v>
          </cell>
          <cell r="C300" t="str">
            <v>T-PEVmix-ELC_GSL_S3</v>
          </cell>
          <cell r="E300">
            <v>2.4677094241860407E-2</v>
          </cell>
          <cell r="F300">
            <v>0.21182149109372639</v>
          </cell>
          <cell r="G300">
            <v>0.28956596383153793</v>
          </cell>
          <cell r="H300">
            <v>0.10413328790288065</v>
          </cell>
          <cell r="I300">
            <v>0.69757031469736697</v>
          </cell>
        </row>
        <row r="301">
          <cell r="A301" t="str">
            <v>T-Plg-ELC-GSL_S3</v>
          </cell>
          <cell r="B301" t="str">
            <v>VAR_fin</v>
          </cell>
          <cell r="C301" t="str">
            <v>T-ELC-car-PlgSTGOut_S3</v>
          </cell>
          <cell r="E301">
            <v>1.7611839536727032E-2</v>
          </cell>
          <cell r="F301">
            <v>0.15117525892674608</v>
          </cell>
          <cell r="G301">
            <v>0.20666085075964249</v>
          </cell>
          <cell r="H301">
            <v>6.7771468251372424E-2</v>
          </cell>
          <cell r="I301">
            <v>0.41592895313844447</v>
          </cell>
        </row>
        <row r="302">
          <cell r="A302" t="str">
            <v>T-Plg-ELC-DSL_S2</v>
          </cell>
          <cell r="B302" t="str">
            <v>VAR_fout</v>
          </cell>
          <cell r="C302" t="str">
            <v>T-PEVmix-ELC_DSL_S2</v>
          </cell>
          <cell r="E302">
            <v>4.6222364093270397E-5</v>
          </cell>
          <cell r="F302">
            <v>1.5661532487445555E-4</v>
          </cell>
          <cell r="G302">
            <v>2.3078986142273871E-4</v>
          </cell>
          <cell r="H302">
            <v>5.6733196737407106E-4</v>
          </cell>
          <cell r="I302">
            <v>3.95035626728404E-4</v>
          </cell>
        </row>
        <row r="303">
          <cell r="A303" t="str">
            <v>T-Plg-ELC-DSL_S2</v>
          </cell>
          <cell r="B303" t="str">
            <v>VAR_fin</v>
          </cell>
          <cell r="C303" t="str">
            <v>T-ELC-car-PlgSTGOut_S2</v>
          </cell>
          <cell r="E303">
            <v>3.0750600271369817E-5</v>
          </cell>
          <cell r="F303">
            <v>1.0419231785434088E-4</v>
          </cell>
          <cell r="G303">
            <v>1.5353880993570213E-4</v>
          </cell>
          <cell r="H303">
            <v>3.5856847606153202E-4</v>
          </cell>
          <cell r="I303">
            <v>2.3268590640454647E-4</v>
          </cell>
        </row>
        <row r="304">
          <cell r="A304" t="str">
            <v>T_TW-ICEGSLEXT</v>
          </cell>
          <cell r="B304" t="str">
            <v>VAR_fout</v>
          </cell>
          <cell r="C304" t="str">
            <v>CO2_T</v>
          </cell>
          <cell r="D304">
            <v>154.27763309057499</v>
          </cell>
          <cell r="E304">
            <v>104.30488751187301</v>
          </cell>
          <cell r="F304">
            <v>70.244098710442401</v>
          </cell>
          <cell r="G304">
            <v>33.436596121039599</v>
          </cell>
        </row>
        <row r="305">
          <cell r="A305" t="str">
            <v>T_TW-ICEGSLEXT</v>
          </cell>
          <cell r="B305" t="str">
            <v>VAR_fout</v>
          </cell>
          <cell r="C305" t="str">
            <v>TPTWL</v>
          </cell>
          <cell r="D305">
            <v>1.6121074142925549</v>
          </cell>
          <cell r="E305">
            <v>1.1126396402747432</v>
          </cell>
          <cell r="F305">
            <v>0.77225502336360896</v>
          </cell>
          <cell r="G305">
            <v>0.38580360122292767</v>
          </cell>
        </row>
        <row r="306">
          <cell r="A306" t="str">
            <v>T_TW-ICEGSLEXT</v>
          </cell>
          <cell r="B306" t="str">
            <v>VAR_fin</v>
          </cell>
          <cell r="C306" t="str">
            <v>TGSL</v>
          </cell>
          <cell r="D306">
            <v>2.0904828332056269</v>
          </cell>
          <cell r="E306">
            <v>1.4133453592394714</v>
          </cell>
          <cell r="F306">
            <v>0.95181705569705188</v>
          </cell>
          <cell r="G306">
            <v>0.45307040814416871</v>
          </cell>
        </row>
        <row r="307">
          <cell r="A307" t="str">
            <v>T_TW-ICEGSLEXT</v>
          </cell>
          <cell r="B307" t="str">
            <v>VAR_cap</v>
          </cell>
          <cell r="C307" t="str">
            <v>-</v>
          </cell>
          <cell r="D307">
            <v>0.55779800000000002</v>
          </cell>
          <cell r="E307">
            <v>0.48342493333333297</v>
          </cell>
          <cell r="F307">
            <v>0.37186504265022885</v>
          </cell>
          <cell r="G307">
            <v>0.18593252455840645</v>
          </cell>
        </row>
        <row r="308">
          <cell r="A308" t="str">
            <v>T-Plg-ELC-GSL_S4</v>
          </cell>
          <cell r="B308" t="str">
            <v>VAR_fout</v>
          </cell>
          <cell r="C308" t="str">
            <v>T-PEVmix-ELC_GSL_S4</v>
          </cell>
          <cell r="E308">
            <v>2.3633900506486838E-2</v>
          </cell>
          <cell r="F308">
            <v>2.7524569899627465E-2</v>
          </cell>
          <cell r="G308">
            <v>3.3183464048476524E-2</v>
          </cell>
          <cell r="H308">
            <v>7.3385468482103737E-4</v>
          </cell>
          <cell r="I308">
            <v>6.3478360614923842E-4</v>
          </cell>
        </row>
        <row r="309">
          <cell r="A309" t="str">
            <v>T-Plg-ELC-GSL_S4</v>
          </cell>
          <cell r="B309" t="str">
            <v>VAR_fin</v>
          </cell>
          <cell r="C309" t="str">
            <v>T-ELC-car-PlgSTGOut_S4</v>
          </cell>
          <cell r="E309">
            <v>1.7645146220208508E-2</v>
          </cell>
          <cell r="F309">
            <v>2.0549932517231858E-2</v>
          </cell>
          <cell r="G309">
            <v>2.4774881110618645E-2</v>
          </cell>
          <cell r="H309">
            <v>5.2126741831788907E-4</v>
          </cell>
          <cell r="I309">
            <v>4.1858362031898871E-4</v>
          </cell>
        </row>
        <row r="310">
          <cell r="A310" t="str">
            <v>T-Plg-ELC-DSL_S3</v>
          </cell>
          <cell r="B310" t="str">
            <v>VAR_fout</v>
          </cell>
          <cell r="C310" t="str">
            <v>T-PEVmix-ELC_DSL_S3</v>
          </cell>
          <cell r="E310">
            <v>1.718428713552763E-2</v>
          </cell>
          <cell r="F310">
            <v>0.11146620485052218</v>
          </cell>
          <cell r="G310">
            <v>1.267660118242373</v>
          </cell>
          <cell r="H310">
            <v>4.4740940939335507</v>
          </cell>
          <cell r="I310">
            <v>4.9353452675894776</v>
          </cell>
        </row>
        <row r="311">
          <cell r="A311" t="str">
            <v>T-Plg-ELC-DSL_S3</v>
          </cell>
          <cell r="B311" t="str">
            <v>VAR_fin</v>
          </cell>
          <cell r="C311" t="str">
            <v>T-ELC-car-PlgSTGOut_S3</v>
          </cell>
          <cell r="E311">
            <v>1.2264284628397097E-2</v>
          </cell>
          <cell r="F311">
            <v>7.9552515152502806E-2</v>
          </cell>
          <cell r="G311">
            <v>0.90471861762886219</v>
          </cell>
          <cell r="H311">
            <v>2.9054006469860778</v>
          </cell>
          <cell r="I311">
            <v>2.9412780194991721</v>
          </cell>
        </row>
        <row r="312">
          <cell r="A312" t="str">
            <v>T-Plg-ELC-DSL_S4</v>
          </cell>
          <cell r="B312" t="str">
            <v>VAR_fout</v>
          </cell>
          <cell r="C312" t="str">
            <v>T-PEVmix-ELC_DSL_S4</v>
          </cell>
          <cell r="E312">
            <v>5.6604960867212332E-2</v>
          </cell>
          <cell r="F312">
            <v>6.4746580342301491E-2</v>
          </cell>
          <cell r="G312">
            <v>6.1952183289952487E-2</v>
          </cell>
          <cell r="H312">
            <v>7.6759692062067437E-4</v>
          </cell>
          <cell r="I312">
            <v>6.3256115607937253E-4</v>
          </cell>
        </row>
        <row r="313">
          <cell r="A313" t="str">
            <v>T-Plg-ELC-DSL_S4</v>
          </cell>
          <cell r="B313" t="str">
            <v>VAR_fin</v>
          </cell>
          <cell r="C313" t="str">
            <v>T-ELC-car-PlgSTGOut_S4</v>
          </cell>
          <cell r="E313">
            <v>4.2261446053604233E-2</v>
          </cell>
          <cell r="F313">
            <v>4.8340005370032482E-2</v>
          </cell>
          <cell r="G313">
            <v>4.6253699532683108E-2</v>
          </cell>
          <cell r="H313">
            <v>5.4511063147785321E-4</v>
          </cell>
          <cell r="I313">
            <v>4.1727036626955382E-4</v>
          </cell>
        </row>
        <row r="314">
          <cell r="A314" t="str">
            <v>TFLGV-ICENGA</v>
          </cell>
          <cell r="B314" t="str">
            <v>VAR_fout</v>
          </cell>
          <cell r="C314" t="str">
            <v>CO2_T</v>
          </cell>
          <cell r="D314">
            <v>0.46719481774625471</v>
          </cell>
          <cell r="E314">
            <v>0.57413334487544221</v>
          </cell>
          <cell r="F314">
            <v>0.79324483820103087</v>
          </cell>
          <cell r="G314">
            <v>5.1970903779023853E-3</v>
          </cell>
          <cell r="H314">
            <v>7.1632086030583159E-3</v>
          </cell>
          <cell r="I314">
            <v>7.1295972452498409E-3</v>
          </cell>
        </row>
        <row r="315">
          <cell r="A315" t="str">
            <v>TFLGV-ICENGA</v>
          </cell>
          <cell r="B315" t="str">
            <v>VAR_fout</v>
          </cell>
          <cell r="C315" t="str">
            <v>TFLGV</v>
          </cell>
          <cell r="D315">
            <v>2.6555297728144199E-3</v>
          </cell>
          <cell r="E315">
            <v>3.2633670857845978E-3</v>
          </cell>
          <cell r="F315">
            <v>4.508794200962815E-3</v>
          </cell>
          <cell r="G315">
            <v>2.9540199733171776E-5</v>
          </cell>
          <cell r="H315">
            <v>4.0715592279178798E-5</v>
          </cell>
          <cell r="I315">
            <v>4.0524545722207739E-5</v>
          </cell>
        </row>
        <row r="316">
          <cell r="A316" t="str">
            <v>TFLGV-ICENGA</v>
          </cell>
          <cell r="B316" t="str">
            <v>VAR_fin</v>
          </cell>
          <cell r="C316" t="str">
            <v>TNGA</v>
          </cell>
          <cell r="D316">
            <v>8.2835960593307511E-3</v>
          </cell>
          <cell r="E316">
            <v>1.0179669235380173E-2</v>
          </cell>
          <cell r="F316">
            <v>1.4064624790798409E-2</v>
          </cell>
          <cell r="G316">
            <v>9.2146992515999802E-5</v>
          </cell>
          <cell r="H316">
            <v>1.270072447350766E-4</v>
          </cell>
          <cell r="I316">
            <v>1.2641129867464255E-4</v>
          </cell>
        </row>
        <row r="317">
          <cell r="A317" t="str">
            <v>TFLGV-ICENGA</v>
          </cell>
          <cell r="B317" t="str">
            <v>VAR_ncap</v>
          </cell>
          <cell r="C317" t="str">
            <v>-</v>
          </cell>
          <cell r="E317">
            <v>7.8186471471682004E-7</v>
          </cell>
          <cell r="F317">
            <v>9.3575186430719798E-7</v>
          </cell>
          <cell r="G317">
            <v>5.4166001798328704E-7</v>
          </cell>
          <cell r="H317">
            <v>7.8627889479023196E-7</v>
          </cell>
          <cell r="I317">
            <v>2.3967263187317198E-6</v>
          </cell>
        </row>
        <row r="318">
          <cell r="A318" t="str">
            <v>TFLGV-ICENGA</v>
          </cell>
          <cell r="B318" t="str">
            <v>VAR_cap</v>
          </cell>
          <cell r="C318" t="str">
            <v>-</v>
          </cell>
          <cell r="D318">
            <v>1.9195964302878897E-4</v>
          </cell>
          <cell r="E318">
            <v>3.1865444647005985E-4</v>
          </cell>
          <cell r="F318">
            <v>3.1966096301392396E-4</v>
          </cell>
          <cell r="G318">
            <v>2.4927944430268691E-6</v>
          </cell>
          <cell r="H318">
            <v>3.1913587808239276E-6</v>
          </cell>
          <cell r="I318">
            <v>3.1995851496000666E-6</v>
          </cell>
        </row>
        <row r="319">
          <cell r="A319" t="str">
            <v>TFLGV-BEVELC</v>
          </cell>
          <cell r="B319" t="str">
            <v>VAR_fout</v>
          </cell>
          <cell r="C319" t="str">
            <v>TFLGV</v>
          </cell>
          <cell r="D319">
            <v>2.4203517657691069E-2</v>
          </cell>
          <cell r="E319">
            <v>5.3999360161901593E-2</v>
          </cell>
          <cell r="F319">
            <v>0.20173816171976588</v>
          </cell>
          <cell r="G319">
            <v>0.83721107514257642</v>
          </cell>
          <cell r="H319">
            <v>2.9509792257916523</v>
          </cell>
          <cell r="I319">
            <v>3.0575322146564514</v>
          </cell>
        </row>
        <row r="320">
          <cell r="A320" t="str">
            <v>TFLGV-BEVELC</v>
          </cell>
          <cell r="B320" t="str">
            <v>VAR_fin</v>
          </cell>
          <cell r="C320" t="str">
            <v>T-ELC-LGV_BatSTGout</v>
          </cell>
          <cell r="D320">
            <v>3.5522490282647284E-2</v>
          </cell>
          <cell r="E320">
            <v>7.9252601780831752E-2</v>
          </cell>
          <cell r="F320">
            <v>0.29608265999518152</v>
          </cell>
          <cell r="G320">
            <v>1.228739669245001</v>
          </cell>
          <cell r="H320">
            <v>4.3310287518958068</v>
          </cell>
          <cell r="I320">
            <v>4.4874121158790272</v>
          </cell>
        </row>
        <row r="321">
          <cell r="A321" t="str">
            <v>TFLGV-BEVELC</v>
          </cell>
          <cell r="B321" t="str">
            <v>VAR_ncap</v>
          </cell>
          <cell r="C321" t="str">
            <v>-</v>
          </cell>
          <cell r="E321">
            <v>1.1736772398746201E-3</v>
          </cell>
          <cell r="F321">
            <v>1.0304176798805499E-2</v>
          </cell>
          <cell r="G321">
            <v>4.5263399756929397E-2</v>
          </cell>
          <cell r="H321">
            <v>0.18572464589916499</v>
          </cell>
          <cell r="I321">
            <v>0.19272022744464501</v>
          </cell>
        </row>
        <row r="322">
          <cell r="A322" t="str">
            <v>TFLGV-BEVELC</v>
          </cell>
          <cell r="B322" t="str">
            <v>VAR_cap</v>
          </cell>
          <cell r="C322" t="str">
            <v>-</v>
          </cell>
          <cell r="D322">
            <v>1.6989257317305011E-3</v>
          </cell>
          <cell r="E322">
            <v>3.765638582377042E-3</v>
          </cell>
          <cell r="F322">
            <v>1.40698540386801E-2</v>
          </cell>
          <cell r="G322">
            <v>5.836776582877147E-2</v>
          </cell>
          <cell r="H322">
            <v>0.29302350269790078</v>
          </cell>
          <cell r="I322">
            <v>0.30328493119047994</v>
          </cell>
        </row>
        <row r="323">
          <cell r="A323" t="str">
            <v>T_B_c-BEVELC-S1</v>
          </cell>
          <cell r="B323" t="str">
            <v>VAR_fout</v>
          </cell>
          <cell r="C323" t="str">
            <v>TPBSc</v>
          </cell>
          <cell r="D323">
            <v>1.5061965671807632E-4</v>
          </cell>
          <cell r="E323">
            <v>2.1863560614152712E-4</v>
          </cell>
          <cell r="F323">
            <v>1.9619818185241628E-4</v>
          </cell>
          <cell r="G323">
            <v>6.463022501134276E-2</v>
          </cell>
          <cell r="H323">
            <v>6.4518375739805886E-2</v>
          </cell>
          <cell r="I323">
            <v>6.293675929464447E-2</v>
          </cell>
        </row>
        <row r="324">
          <cell r="A324" t="str">
            <v>T_B_c-BEVELC-S1</v>
          </cell>
          <cell r="B324" t="str">
            <v>VAR_fin</v>
          </cell>
          <cell r="C324" t="str">
            <v>T-ELC-Bus_c_BatSTGout_S1</v>
          </cell>
          <cell r="D324">
            <v>3.9773529059706364E-4</v>
          </cell>
          <cell r="E324">
            <v>5.6903540827223759E-4</v>
          </cell>
          <cell r="F324">
            <v>5.0006712825860521E-4</v>
          </cell>
          <cell r="G324">
            <v>0.14450661963289924</v>
          </cell>
          <cell r="H324">
            <v>0.13690673225025676</v>
          </cell>
          <cell r="I324">
            <v>0.11839594248656336</v>
          </cell>
        </row>
        <row r="325">
          <cell r="A325" t="str">
            <v>T_B_c-BEVELC-S1</v>
          </cell>
          <cell r="B325" t="str">
            <v>VAR_ncap</v>
          </cell>
          <cell r="C325" t="str">
            <v>-</v>
          </cell>
          <cell r="E325">
            <v>7.28057501484483E-7</v>
          </cell>
          <cell r="F325">
            <v>1.39928332815696E-6</v>
          </cell>
          <cell r="G325">
            <v>1.43603463693049E-3</v>
          </cell>
          <cell r="H325">
            <v>1.1492857265936601E-5</v>
          </cell>
          <cell r="I325">
            <v>1.2396017653038701E-3</v>
          </cell>
        </row>
        <row r="326">
          <cell r="A326" t="str">
            <v>T_B_c-BEVELC-S1</v>
          </cell>
          <cell r="B326" t="str">
            <v>VAR_cap</v>
          </cell>
          <cell r="C326" t="str">
            <v>-</v>
          </cell>
          <cell r="D326">
            <v>3.3599481162150238E-6</v>
          </cell>
          <cell r="E326">
            <v>4.9361622915552834E-6</v>
          </cell>
          <cell r="F326">
            <v>4.4752303633651695E-6</v>
          </cell>
          <cell r="G326">
            <v>1.4389827926401865E-3</v>
          </cell>
          <cell r="H326">
            <v>1.4359610736989479E-3</v>
          </cell>
          <cell r="I326">
            <v>1.4952126672159688E-3</v>
          </cell>
        </row>
        <row r="327">
          <cell r="A327" t="str">
            <v>T_B_c-BEVELC-S2</v>
          </cell>
          <cell r="B327" t="str">
            <v>VAR_fout</v>
          </cell>
          <cell r="C327" t="str">
            <v>TPBSc</v>
          </cell>
          <cell r="D327">
            <v>2.6300681584600765E-4</v>
          </cell>
          <cell r="E327">
            <v>5.5539610778350336E-4</v>
          </cell>
          <cell r="F327">
            <v>5.9480245203491868E-4</v>
          </cell>
          <cell r="G327">
            <v>2.2933392085702355E-2</v>
          </cell>
          <cell r="H327">
            <v>2.299241402484568E-2</v>
          </cell>
          <cell r="I327">
            <v>2.0363180946699585E-2</v>
          </cell>
        </row>
        <row r="328">
          <cell r="A328" t="str">
            <v>T_B_c-BEVELC-S2</v>
          </cell>
          <cell r="B328" t="str">
            <v>VAR_fin</v>
          </cell>
          <cell r="C328" t="str">
            <v>T-ELC-Bus_c_BatSTGout_S2</v>
          </cell>
          <cell r="D328">
            <v>9.5576038254407481E-4</v>
          </cell>
          <cell r="E328">
            <v>1.9866356406019687E-3</v>
          </cell>
          <cell r="F328">
            <v>2.1193122169079572E-3</v>
          </cell>
          <cell r="G328">
            <v>7.094670870168214E-2</v>
          </cell>
          <cell r="H328">
            <v>6.5418922398015916E-2</v>
          </cell>
          <cell r="I328">
            <v>5.4160161927995276E-2</v>
          </cell>
        </row>
        <row r="329">
          <cell r="A329" t="str">
            <v>T_B_c-BEVELC-S2</v>
          </cell>
          <cell r="B329" t="str">
            <v>VAR_ncap</v>
          </cell>
          <cell r="C329" t="str">
            <v>-</v>
          </cell>
          <cell r="E329">
            <v>3.8387532310229701E-7</v>
          </cell>
          <cell r="F329">
            <v>7.6975286065057797E-7</v>
          </cell>
          <cell r="G329">
            <v>4.87308009919368E-4</v>
          </cell>
          <cell r="H329">
            <v>3.9755597125643298E-4</v>
          </cell>
          <cell r="I329">
            <v>2.40423135519548E-4</v>
          </cell>
        </row>
        <row r="330">
          <cell r="A330" t="str">
            <v>T_B_c-BEVELC-S2</v>
          </cell>
          <cell r="B330" t="str">
            <v>VAR_cap</v>
          </cell>
          <cell r="C330" t="str">
            <v>-</v>
          </cell>
          <cell r="D330">
            <v>5.7751643439749605E-6</v>
          </cell>
          <cell r="E330">
            <v>1.2519912578520828E-5</v>
          </cell>
          <cell r="F330">
            <v>1.3236633784737821E-5</v>
          </cell>
          <cell r="G330">
            <v>4.9845667113856973E-4</v>
          </cell>
          <cell r="H330">
            <v>4.9978458511088582E-4</v>
          </cell>
          <cell r="I330">
            <v>4.4260367587677899E-4</v>
          </cell>
        </row>
        <row r="331">
          <cell r="A331" t="str">
            <v>T_B_c-BEVELC-S3</v>
          </cell>
          <cell r="B331" t="str">
            <v>VAR_fout</v>
          </cell>
          <cell r="C331" t="str">
            <v>TPBSc</v>
          </cell>
          <cell r="D331">
            <v>5.7002387543607198E-5</v>
          </cell>
          <cell r="E331">
            <v>1.206929008733257E-4</v>
          </cell>
          <cell r="F331">
            <v>1.3070632042868805E-4</v>
          </cell>
          <cell r="G331">
            <v>1.0409816761250824E-4</v>
          </cell>
          <cell r="H331">
            <v>1.8679497007544659E-4</v>
          </cell>
          <cell r="I331">
            <v>1.0727852072677164E-4</v>
          </cell>
        </row>
        <row r="332">
          <cell r="A332" t="str">
            <v>T_B_c-BEVELC-S3</v>
          </cell>
          <cell r="B332" t="str">
            <v>VAR_fin</v>
          </cell>
          <cell r="C332" t="str">
            <v>T-ELC-Bus_c_BatSTGout_S3</v>
          </cell>
          <cell r="D332">
            <v>3.1153883535787682E-4</v>
          </cell>
          <cell r="E332">
            <v>6.5262155573130921E-4</v>
          </cell>
          <cell r="F332">
            <v>7.0310811857028741E-4</v>
          </cell>
          <cell r="G332">
            <v>5.299012275808095E-4</v>
          </cell>
          <cell r="H332">
            <v>7.983782228242163E-4</v>
          </cell>
          <cell r="I332">
            <v>4.2252684169976175E-4</v>
          </cell>
        </row>
        <row r="333">
          <cell r="A333" t="str">
            <v>T_B_c-BEVELC-S3</v>
          </cell>
          <cell r="B333" t="str">
            <v>VAR_ncap</v>
          </cell>
          <cell r="C333" t="str">
            <v>-</v>
          </cell>
          <cell r="E333">
            <v>1.7784143521426699E-7</v>
          </cell>
          <cell r="F333">
            <v>2.19929928501263E-7</v>
          </cell>
          <cell r="G333">
            <v>8.0507473931245095E-7</v>
          </cell>
          <cell r="H333">
            <v>2.3323785467923398E-6</v>
          </cell>
          <cell r="I333">
            <v>1.56120054576671E-6</v>
          </cell>
        </row>
        <row r="334">
          <cell r="A334" t="str">
            <v>T_B_c-BEVELC-S3</v>
          </cell>
          <cell r="B334" t="str">
            <v>VAR_cap</v>
          </cell>
          <cell r="C334" t="str">
            <v>-</v>
          </cell>
          <cell r="D334">
            <v>1.2177989540553801E-6</v>
          </cell>
          <cell r="E334">
            <v>2.6559907539001371E-6</v>
          </cell>
          <cell r="F334">
            <v>2.8715852259780997E-6</v>
          </cell>
          <cell r="G334">
            <v>2.3275582827395127E-6</v>
          </cell>
          <cell r="H334">
            <v>4.10482324598012E-6</v>
          </cell>
          <cell r="I334">
            <v>2.36008975349378E-6</v>
          </cell>
        </row>
        <row r="335">
          <cell r="A335" t="str">
            <v>T_B_c-BEVELC-S4</v>
          </cell>
          <cell r="B335" t="str">
            <v>VAR_fout</v>
          </cell>
          <cell r="C335" t="str">
            <v>TPBSc</v>
          </cell>
          <cell r="E335">
            <v>2.4167835253649553E-6</v>
          </cell>
          <cell r="F335">
            <v>5.8803352586563176E-6</v>
          </cell>
          <cell r="G335">
            <v>4.5252050977214523E-6</v>
          </cell>
          <cell r="H335">
            <v>8.3771933729378198E-6</v>
          </cell>
          <cell r="I335">
            <v>2.2376140105544434E-6</v>
          </cell>
        </row>
        <row r="336">
          <cell r="A336" t="str">
            <v>T_B_c-BEVELC-S4</v>
          </cell>
          <cell r="B336" t="str">
            <v>VAR_fin</v>
          </cell>
          <cell r="C336" t="str">
            <v>T-ELC-Bus_c_BatSTGout_S4</v>
          </cell>
          <cell r="E336">
            <v>1.9114937144212841E-5</v>
          </cell>
          <cell r="F336">
            <v>4.535118336644519E-5</v>
          </cell>
          <cell r="G336">
            <v>3.224892476069196E-5</v>
          </cell>
          <cell r="H336">
            <v>5.3293016770669644E-5</v>
          </cell>
          <cell r="I336">
            <v>1.3048231537237213E-5</v>
          </cell>
        </row>
        <row r="337">
          <cell r="A337" t="str">
            <v>T_B_c-BEVELC-S4</v>
          </cell>
          <cell r="B337" t="str">
            <v>VAR_ncap</v>
          </cell>
          <cell r="C337" t="str">
            <v>-</v>
          </cell>
          <cell r="E337">
            <v>7.6948765960944801E-8</v>
          </cell>
          <cell r="F337">
            <v>7.6803942100033895E-8</v>
          </cell>
          <cell r="G337">
            <v>9.74902533589003E-8</v>
          </cell>
          <cell r="H337">
            <v>1.65811645865541E-7</v>
          </cell>
          <cell r="I337">
            <v>6.7848209798633501E-8</v>
          </cell>
        </row>
        <row r="338">
          <cell r="A338" t="str">
            <v>T_B_c-BEVELC-S4</v>
          </cell>
          <cell r="B338" t="str">
            <v>VAR_cap</v>
          </cell>
          <cell r="C338" t="str">
            <v>-</v>
          </cell>
          <cell r="E338">
            <v>7.6948765960944801E-8</v>
          </cell>
          <cell r="F338">
            <v>1.53752708060979E-7</v>
          </cell>
          <cell r="G338">
            <v>1.6113620886986491E-7</v>
          </cell>
          <cell r="H338">
            <v>2.5438132996678867E-7</v>
          </cell>
          <cell r="I338">
            <v>9.6946269418124205E-8</v>
          </cell>
        </row>
        <row r="339">
          <cell r="A339" t="str">
            <v>T_C-BAT-ELC-S1</v>
          </cell>
          <cell r="B339" t="str">
            <v>VAR_fout</v>
          </cell>
          <cell r="C339" t="str">
            <v>TPCAR</v>
          </cell>
          <cell r="D339">
            <v>1.3806817626089441E-2</v>
          </cell>
          <cell r="E339">
            <v>0.33225309110621398</v>
          </cell>
          <cell r="F339">
            <v>0.22292107736222316</v>
          </cell>
          <cell r="G339">
            <v>0.17995964796666553</v>
          </cell>
          <cell r="H339">
            <v>0.47509967116589402</v>
          </cell>
          <cell r="I339">
            <v>1.8986270494956285</v>
          </cell>
        </row>
        <row r="340">
          <cell r="A340" t="str">
            <v>T_C-BAT-ELC-S1</v>
          </cell>
          <cell r="B340" t="str">
            <v>VAR_fin</v>
          </cell>
          <cell r="C340" t="str">
            <v>T-ELC-car-BatSTGOut_S1</v>
          </cell>
          <cell r="D340">
            <v>7.6210361632777432E-3</v>
          </cell>
          <cell r="E340">
            <v>0.18339583322202971</v>
          </cell>
          <cell r="F340">
            <v>0.12304715236653145</v>
          </cell>
          <cell r="G340">
            <v>9.9333461354131278E-2</v>
          </cell>
          <cell r="H340">
            <v>0.23837734360094689</v>
          </cell>
          <cell r="I340">
            <v>0.87418736374680983</v>
          </cell>
        </row>
        <row r="341">
          <cell r="A341" t="str">
            <v>T_C-BAT-ELC-S1</v>
          </cell>
          <cell r="B341" t="str">
            <v>VAR_ncap</v>
          </cell>
          <cell r="C341" t="str">
            <v>-</v>
          </cell>
          <cell r="D341">
            <v>2.3967598208741301E-5</v>
          </cell>
          <cell r="E341">
            <v>3.3782701346223402E-2</v>
          </cell>
          <cell r="F341">
            <v>3.4850449980969902E-4</v>
          </cell>
          <cell r="G341">
            <v>9.6364514453737193E-5</v>
          </cell>
          <cell r="H341">
            <v>7.4484237369765602E-2</v>
          </cell>
          <cell r="I341">
            <v>0.293721411577822</v>
          </cell>
        </row>
        <row r="342">
          <cell r="A342" t="str">
            <v>T_C-BAT-ELC-S1</v>
          </cell>
          <cell r="B342" t="str">
            <v>VAR_cap</v>
          </cell>
          <cell r="C342" t="str">
            <v>-</v>
          </cell>
          <cell r="D342">
            <v>1.4955825406898057E-3</v>
          </cell>
          <cell r="E342">
            <v>3.5497123572066844E-2</v>
          </cell>
          <cell r="F342">
            <v>3.3863530689783088E-2</v>
          </cell>
          <cell r="G342">
            <v>2.7343840474128502E-2</v>
          </cell>
          <cell r="H342">
            <v>7.2200035608661645E-2</v>
          </cell>
          <cell r="I342">
            <v>0.28854379122998514</v>
          </cell>
        </row>
        <row r="343">
          <cell r="A343" t="str">
            <v>D-TNGA</v>
          </cell>
          <cell r="B343" t="str">
            <v>VAR_fout</v>
          </cell>
          <cell r="C343" t="str">
            <v>CO2</v>
          </cell>
          <cell r="D343">
            <v>13.9898803723217</v>
          </cell>
          <cell r="E343">
            <v>6.0184324186263503</v>
          </cell>
          <cell r="F343">
            <v>274.26681603329803</v>
          </cell>
          <cell r="G343">
            <v>513.38005731923499</v>
          </cell>
          <cell r="H343">
            <v>8.9723899144005401E-2</v>
          </cell>
          <cell r="I343">
            <v>8.3078643055222196E-2</v>
          </cell>
        </row>
        <row r="344">
          <cell r="A344" t="str">
            <v>D-TNGA</v>
          </cell>
          <cell r="B344" t="str">
            <v>VAR_fout</v>
          </cell>
          <cell r="C344" t="str">
            <v>TNGA</v>
          </cell>
          <cell r="D344">
            <v>0.26745076935109163</v>
          </cell>
          <cell r="E344">
            <v>0.11920155864425455</v>
          </cell>
          <cell r="F344">
            <v>5.4900374573140445</v>
          </cell>
          <cell r="G344">
            <v>9.074818306092844</v>
          </cell>
          <cell r="H344">
            <v>1.6583927842144591E-3</v>
          </cell>
          <cell r="I344">
            <v>1.5116828649058942E-3</v>
          </cell>
        </row>
        <row r="345">
          <cell r="A345" t="str">
            <v>D-TNGA</v>
          </cell>
          <cell r="B345" t="str">
            <v>VAR_fin</v>
          </cell>
          <cell r="C345" t="str">
            <v>NGA</v>
          </cell>
          <cell r="D345">
            <v>0.24804752433194449</v>
          </cell>
          <cell r="E345">
            <v>0.10670979465649562</v>
          </cell>
          <cell r="F345">
            <v>4.8628868091010187</v>
          </cell>
          <cell r="G345">
            <v>9.1024832858020446</v>
          </cell>
          <cell r="H345">
            <v>1.5908492756029316E-3</v>
          </cell>
          <cell r="I345">
            <v>1.4730255860854976E-3</v>
          </cell>
        </row>
        <row r="346">
          <cell r="A346" t="str">
            <v>D-TNGA</v>
          </cell>
          <cell r="B346" t="str">
            <v>VAR_fin</v>
          </cell>
          <cell r="C346" t="str">
            <v>BNGA</v>
          </cell>
          <cell r="D346">
            <v>2.0256357521064621E-2</v>
          </cell>
          <cell r="E346">
            <v>1.1462307618278444E-2</v>
          </cell>
          <cell r="F346">
            <v>0.47970880059380244</v>
          </cell>
          <cell r="G346">
            <v>9.9837085707411496E-4</v>
          </cell>
          <cell r="H346">
            <v>5.6619789363993042E-5</v>
          </cell>
          <cell r="I346">
            <v>2.9629250992635601E-5</v>
          </cell>
        </row>
        <row r="347">
          <cell r="A347" t="str">
            <v>D-TNGA</v>
          </cell>
          <cell r="B347" t="str">
            <v>VAR_fin</v>
          </cell>
          <cell r="C347" t="str">
            <v>H2</v>
          </cell>
          <cell r="E347">
            <v>1.4096538391832471E-3</v>
          </cell>
          <cell r="F347">
            <v>0.16495397239400797</v>
          </cell>
          <cell r="G347">
            <v>2.8348876065522878E-4</v>
          </cell>
          <cell r="H347">
            <v>1.5987180577127827E-5</v>
          </cell>
          <cell r="I347">
            <v>1.3658845793815934E-5</v>
          </cell>
        </row>
        <row r="348">
          <cell r="A348" t="str">
            <v>D-TNGA</v>
          </cell>
          <cell r="B348" t="str">
            <v>VAR_ncap</v>
          </cell>
          <cell r="C348" t="str">
            <v>-</v>
          </cell>
          <cell r="D348">
            <v>3.2751427331977498E-8</v>
          </cell>
          <cell r="E348">
            <v>3.4447021222411298E-8</v>
          </cell>
          <cell r="F348">
            <v>2.0510108003706701E-7</v>
          </cell>
          <cell r="G348">
            <v>4.77115251122014E-8</v>
          </cell>
          <cell r="H348">
            <v>6.0083608076277995E-8</v>
          </cell>
          <cell r="I348">
            <v>1.00973425713622E-7</v>
          </cell>
        </row>
        <row r="349">
          <cell r="A349" t="str">
            <v>D-TNGA</v>
          </cell>
          <cell r="B349" t="str">
            <v>VAR_cap</v>
          </cell>
          <cell r="C349" t="str">
            <v>-</v>
          </cell>
          <cell r="D349">
            <v>0.95961772583307137</v>
          </cell>
          <cell r="E349">
            <v>0.9596177602800926</v>
          </cell>
          <cell r="F349">
            <v>0.95961796538117261</v>
          </cell>
          <cell r="G349">
            <v>0.95961801309269767</v>
          </cell>
          <cell r="H349">
            <v>0.95961813661915885</v>
          </cell>
          <cell r="I349">
            <v>0.48125389394652862</v>
          </cell>
        </row>
        <row r="350">
          <cell r="A350" t="str">
            <v>T_C-BAT-ELC-S2</v>
          </cell>
          <cell r="B350" t="str">
            <v>VAR_fout</v>
          </cell>
          <cell r="C350" t="str">
            <v>TPCAR</v>
          </cell>
          <cell r="D350">
            <v>9.6846450158133493E-2</v>
          </cell>
          <cell r="E350">
            <v>0.1499931152749201</v>
          </cell>
          <cell r="F350">
            <v>2.0604916846346875</v>
          </cell>
          <cell r="G350">
            <v>9.259136163657125</v>
          </cell>
          <cell r="H350">
            <v>17.350333513232204</v>
          </cell>
          <cell r="I350">
            <v>15.71857729413931</v>
          </cell>
        </row>
        <row r="351">
          <cell r="A351" t="str">
            <v>T_C-BAT-ELC-S2</v>
          </cell>
          <cell r="B351" t="str">
            <v>VAR_fin</v>
          </cell>
          <cell r="C351" t="str">
            <v>T-ELC-car-BatSTGOut_S2</v>
          </cell>
          <cell r="D351">
            <v>6.616106353836021E-2</v>
          </cell>
          <cell r="E351">
            <v>0.10246843342029455</v>
          </cell>
          <cell r="F351">
            <v>1.4076336411379498</v>
          </cell>
          <cell r="G351">
            <v>6.3254181752019543</v>
          </cell>
          <cell r="H351">
            <v>11.106025570366706</v>
          </cell>
          <cell r="I351">
            <v>9.1811974254097279</v>
          </cell>
        </row>
        <row r="352">
          <cell r="A352" t="str">
            <v>T_C-BAT-ELC-S2</v>
          </cell>
          <cell r="B352" t="str">
            <v>VAR_ncap</v>
          </cell>
          <cell r="C352" t="str">
            <v>-</v>
          </cell>
          <cell r="D352">
            <v>6.5529042531401499E-5</v>
          </cell>
          <cell r="E352">
            <v>1.2662086122318901E-4</v>
          </cell>
          <cell r="F352">
            <v>0.14736329273196799</v>
          </cell>
          <cell r="G352">
            <v>0.59671502034086599</v>
          </cell>
          <cell r="H352">
            <v>0.76908966221193098</v>
          </cell>
          <cell r="I352">
            <v>1.20624800211662</v>
          </cell>
        </row>
        <row r="353">
          <cell r="A353" t="str">
            <v>T_C-BAT-ELC-S2</v>
          </cell>
          <cell r="B353" t="str">
            <v>VAR_cap</v>
          </cell>
          <cell r="C353" t="str">
            <v>-</v>
          </cell>
          <cell r="D353">
            <v>7.3522262538574619E-3</v>
          </cell>
          <cell r="E353">
            <v>1.1380250984289454E-2</v>
          </cell>
          <cell r="F353">
            <v>0.15633696159542002</v>
          </cell>
          <cell r="G353">
            <v>0.70251951360372433</v>
          </cell>
          <cell r="H353">
            <v>1.7960956118690694</v>
          </cell>
          <cell r="I353">
            <v>1.6579327145575993</v>
          </cell>
        </row>
        <row r="354">
          <cell r="A354" t="str">
            <v>TFLGV-BeVELCExt</v>
          </cell>
          <cell r="B354" t="str">
            <v>VAR_fout</v>
          </cell>
          <cell r="C354" t="str">
            <v>TFLGV</v>
          </cell>
          <cell r="D354">
            <v>2.7938901183976225E-2</v>
          </cell>
          <cell r="E354">
            <v>2.4242170351014454E-2</v>
          </cell>
          <cell r="F354">
            <v>1.8635626534758573E-2</v>
          </cell>
          <cell r="G354">
            <v>9.3125209227495846E-3</v>
          </cell>
        </row>
        <row r="355">
          <cell r="A355" t="str">
            <v>TFLGV-BeVELCExt</v>
          </cell>
          <cell r="B355" t="str">
            <v>VAR_fin</v>
          </cell>
          <cell r="C355" t="str">
            <v>TELC</v>
          </cell>
          <cell r="D355">
            <v>4.0536817731954805E-2</v>
          </cell>
          <cell r="E355">
            <v>3.4848407553179722E-2</v>
          </cell>
          <cell r="F355">
            <v>2.642295119818525E-2</v>
          </cell>
          <cell r="G355">
            <v>1.3203971726678478E-2</v>
          </cell>
        </row>
        <row r="356">
          <cell r="A356" t="str">
            <v>TFLGV-BeVELCExt</v>
          </cell>
          <cell r="B356" t="str">
            <v>VAR_cap</v>
          </cell>
          <cell r="C356" t="str">
            <v>-</v>
          </cell>
          <cell r="D356">
            <v>1.9499999999999999E-3</v>
          </cell>
          <cell r="E356">
            <v>1.6900000000000001E-3</v>
          </cell>
          <cell r="F356">
            <v>1.2999999999999999E-3</v>
          </cell>
          <cell r="G356">
            <v>6.4999999999999997E-4</v>
          </cell>
        </row>
        <row r="357">
          <cell r="A357" t="str">
            <v>T_C-BAT-ELC-S3</v>
          </cell>
          <cell r="B357" t="str">
            <v>VAR_fout</v>
          </cell>
          <cell r="C357" t="str">
            <v>TPCAR</v>
          </cell>
          <cell r="D357">
            <v>6.1327096111326404E-2</v>
          </cell>
          <cell r="E357">
            <v>9.3355667921519364E-2</v>
          </cell>
          <cell r="F357">
            <v>0.12076340010542955</v>
          </cell>
          <cell r="G357">
            <v>3.0432634680965402</v>
          </cell>
          <cell r="H357">
            <v>6.0919191231114498</v>
          </cell>
          <cell r="I357">
            <v>4.9622812243589527</v>
          </cell>
        </row>
        <row r="358">
          <cell r="A358" t="str">
            <v>T_C-BAT-ELC-S3</v>
          </cell>
          <cell r="B358" t="str">
            <v>VAR_fin</v>
          </cell>
          <cell r="C358" t="str">
            <v>T-ELC-car-BatSTGOut_S3</v>
          </cell>
          <cell r="D358">
            <v>4.5853655204512053E-2</v>
          </cell>
          <cell r="E358">
            <v>6.9801097389147068E-2</v>
          </cell>
          <cell r="F358">
            <v>9.0293584090576015E-2</v>
          </cell>
          <cell r="G358">
            <v>2.2754175985973988</v>
          </cell>
          <cell r="H358">
            <v>4.3203047736901476</v>
          </cell>
          <cell r="I358">
            <v>3.1701360534805634</v>
          </cell>
        </row>
        <row r="359">
          <cell r="A359" t="str">
            <v>T_C-BAT-ELC-S3</v>
          </cell>
          <cell r="B359" t="str">
            <v>VAR_ncap</v>
          </cell>
          <cell r="C359" t="str">
            <v>-</v>
          </cell>
          <cell r="D359">
            <v>4.3834638951676901E-5</v>
          </cell>
          <cell r="E359">
            <v>2.5164522791231299E-4</v>
          </cell>
          <cell r="F359">
            <v>2.1279821011424998E-3</v>
          </cell>
          <cell r="G359">
            <v>0.21341865389424899</v>
          </cell>
          <cell r="H359">
            <v>0.10007607875398</v>
          </cell>
          <cell r="I359">
            <v>0.25775801451148</v>
          </cell>
        </row>
        <row r="360">
          <cell r="A360" t="str">
            <v>T_C-BAT-ELC-S3</v>
          </cell>
          <cell r="B360" t="str">
            <v>VAR_cap</v>
          </cell>
          <cell r="C360" t="str">
            <v>-</v>
          </cell>
          <cell r="D360">
            <v>4.2647733807843584E-3</v>
          </cell>
          <cell r="E360">
            <v>6.4195857843070631E-3</v>
          </cell>
          <cell r="F360">
            <v>8.3125035596950201E-3</v>
          </cell>
          <cell r="G360">
            <v>0.20925087326105679</v>
          </cell>
          <cell r="H360">
            <v>0.41886999967594352</v>
          </cell>
          <cell r="I360">
            <v>0.3411995528019951</v>
          </cell>
        </row>
        <row r="361">
          <cell r="A361" t="str">
            <v>T_C-BAT-ELC-S4</v>
          </cell>
          <cell r="B361" t="str">
            <v>VAR_fout</v>
          </cell>
          <cell r="C361" t="str">
            <v>TPCAR</v>
          </cell>
          <cell r="D361">
            <v>0.19338948073816367</v>
          </cell>
          <cell r="E361">
            <v>1.0115106793521842</v>
          </cell>
          <cell r="F361">
            <v>2.2494309336392257</v>
          </cell>
          <cell r="G361">
            <v>1.9253088159494112</v>
          </cell>
          <cell r="H361">
            <v>4.715334003020013</v>
          </cell>
          <cell r="I361">
            <v>8.4872364337738251</v>
          </cell>
        </row>
        <row r="362">
          <cell r="A362" t="str">
            <v>T_C-BAT-ELC-S4</v>
          </cell>
          <cell r="B362" t="str">
            <v>VAR_fin</v>
          </cell>
          <cell r="C362" t="str">
            <v>T-ELC-car-BatSTGOut_S4</v>
          </cell>
          <cell r="D362">
            <v>0.14933862880240398</v>
          </cell>
          <cell r="E362">
            <v>0.78110565940225651</v>
          </cell>
          <cell r="F362">
            <v>1.7370486229818047</v>
          </cell>
          <cell r="G362">
            <v>1.4867560401816844</v>
          </cell>
          <cell r="H362">
            <v>3.4573036704136646</v>
          </cell>
          <cell r="I362">
            <v>5.5096873194529357</v>
          </cell>
        </row>
        <row r="363">
          <cell r="A363" t="str">
            <v>T_C-BAT-ELC-S4</v>
          </cell>
          <cell r="B363" t="str">
            <v>VAR_ncap</v>
          </cell>
          <cell r="C363" t="str">
            <v>-</v>
          </cell>
          <cell r="D363">
            <v>1.3725675625755001E-4</v>
          </cell>
          <cell r="E363">
            <v>5.2274378250688897E-2</v>
          </cell>
          <cell r="F363">
            <v>0.10296615415584599</v>
          </cell>
          <cell r="G363">
            <v>1.1086106996543001E-3</v>
          </cell>
          <cell r="H363">
            <v>3.9612365541406798E-2</v>
          </cell>
          <cell r="I363">
            <v>0.69114683710892</v>
          </cell>
        </row>
        <row r="364">
          <cell r="A364" t="str">
            <v>T_C-BAT-ELC-S4</v>
          </cell>
          <cell r="B364" t="str">
            <v>VAR_cap</v>
          </cell>
          <cell r="C364" t="str">
            <v>-</v>
          </cell>
          <cell r="D364">
            <v>1.5339862767819113E-2</v>
          </cell>
          <cell r="E364">
            <v>7.9647334844758388E-2</v>
          </cell>
          <cell r="F364">
            <v>0.17713693530301233</v>
          </cell>
          <cell r="G364">
            <v>0.1516105393250318</v>
          </cell>
          <cell r="H364">
            <v>0.37299229843765719</v>
          </cell>
          <cell r="I364">
            <v>0.70542997711457078</v>
          </cell>
        </row>
        <row r="365">
          <cell r="A365" t="str">
            <v>T_B_c-ICENGA-S1</v>
          </cell>
          <cell r="B365" t="str">
            <v>VAR_fout</v>
          </cell>
          <cell r="C365" t="str">
            <v>CO2_T</v>
          </cell>
          <cell r="E365">
            <v>4.3076174821363002E-3</v>
          </cell>
          <cell r="F365">
            <v>3.0058266014002809E-2</v>
          </cell>
        </row>
        <row r="366">
          <cell r="A366" t="str">
            <v>T_B_c-ICENGA-S1</v>
          </cell>
          <cell r="B366" t="str">
            <v>VAR_fout</v>
          </cell>
          <cell r="C366" t="str">
            <v>TPBSc</v>
          </cell>
          <cell r="E366">
            <v>9.1832844339933871E-6</v>
          </cell>
          <cell r="F366">
            <v>6.6988622378244471E-5</v>
          </cell>
        </row>
        <row r="367">
          <cell r="A367" t="str">
            <v>T_B_c-ICENGA-S1</v>
          </cell>
          <cell r="B367" t="str">
            <v>VAR_fin</v>
          </cell>
          <cell r="C367" t="str">
            <v>TNGA</v>
          </cell>
          <cell r="E367">
            <v>7.6376196491778294E-5</v>
          </cell>
          <cell r="F367">
            <v>5.329479789716818E-4</v>
          </cell>
        </row>
        <row r="368">
          <cell r="A368" t="str">
            <v>T_B_c-ICENGA-S1</v>
          </cell>
          <cell r="B368" t="str">
            <v>VAR_ncap</v>
          </cell>
          <cell r="C368" t="str">
            <v>-</v>
          </cell>
          <cell r="E368">
            <v>2.5974496801852301E-7</v>
          </cell>
          <cell r="F368">
            <v>1.27823240206346E-6</v>
          </cell>
        </row>
        <row r="369">
          <cell r="A369" t="str">
            <v>T_B_c-ICENGA-S1</v>
          </cell>
          <cell r="B369" t="str">
            <v>VAR_cap</v>
          </cell>
          <cell r="C369" t="str">
            <v>-</v>
          </cell>
          <cell r="E369">
            <v>2.5974496801852301E-7</v>
          </cell>
          <cell r="F369">
            <v>1.5379773700819801E-6</v>
          </cell>
          <cell r="G369">
            <v>2.1665419729700422E-9</v>
          </cell>
        </row>
        <row r="370">
          <cell r="A370" t="str">
            <v>TFLGV-FCLH2O</v>
          </cell>
          <cell r="B370" t="str">
            <v>VAR_fout</v>
          </cell>
          <cell r="C370" t="str">
            <v>TFLGV</v>
          </cell>
          <cell r="E370">
            <v>2.8870423209616243E-5</v>
          </cell>
          <cell r="F370">
            <v>6.1778302837605664E-5</v>
          </cell>
          <cell r="G370">
            <v>1.0574418275722997E-4</v>
          </cell>
          <cell r="H370">
            <v>1.8364411123165204E-4</v>
          </cell>
          <cell r="I370">
            <v>2.2203689798549377E-4</v>
          </cell>
        </row>
        <row r="371">
          <cell r="A371" t="str">
            <v>TFLGV-FCLH2O</v>
          </cell>
          <cell r="B371" t="str">
            <v>VAR_fin</v>
          </cell>
          <cell r="C371" t="str">
            <v>TH2O</v>
          </cell>
          <cell r="E371">
            <v>6.2073124472888702E-5</v>
          </cell>
          <cell r="F371">
            <v>1.2908274268409519E-4</v>
          </cell>
          <cell r="G371">
            <v>2.1090029699922242E-4</v>
          </cell>
          <cell r="H371">
            <v>3.2546434572794603E-4</v>
          </cell>
          <cell r="I371">
            <v>3.7334803077631164E-4</v>
          </cell>
        </row>
        <row r="372">
          <cell r="A372" t="str">
            <v>TFLGV-FCLH2O</v>
          </cell>
          <cell r="B372" t="str">
            <v>VAR_ncap</v>
          </cell>
          <cell r="C372" t="str">
            <v>-</v>
          </cell>
          <cell r="E372">
            <v>2.1022474174357598E-6</v>
          </cell>
          <cell r="F372">
            <v>2.6378159796006099E-6</v>
          </cell>
          <cell r="G372">
            <v>3.67066516889401E-6</v>
          </cell>
          <cell r="H372">
            <v>8.4693976008729695E-6</v>
          </cell>
          <cell r="I372">
            <v>1.41013885001498E-5</v>
          </cell>
        </row>
        <row r="373">
          <cell r="A373" t="str">
            <v>TFLGV-FCLH2O</v>
          </cell>
          <cell r="B373" t="str">
            <v>VAR_cap</v>
          </cell>
          <cell r="C373" t="str">
            <v>-</v>
          </cell>
          <cell r="E373">
            <v>2.1022474174357598E-6</v>
          </cell>
          <cell r="F373">
            <v>4.7400633970363697E-6</v>
          </cell>
          <cell r="G373">
            <v>8.1321903935255501E-6</v>
          </cell>
          <cell r="H373">
            <v>1.59618797943693E-5</v>
          </cell>
          <cell r="I373">
            <v>1.95495868202209E-5</v>
          </cell>
        </row>
        <row r="374">
          <cell r="A374" t="str">
            <v>T_B_c-ICENGA-S2</v>
          </cell>
          <cell r="B374" t="str">
            <v>VAR_fout</v>
          </cell>
          <cell r="C374" t="str">
            <v>CO2_T</v>
          </cell>
          <cell r="E374">
            <v>3.0365810457926501E-3</v>
          </cell>
          <cell r="F374">
            <v>1.42161168879818E-2</v>
          </cell>
        </row>
        <row r="375">
          <cell r="A375" t="str">
            <v>T_B_c-ICENGA-S2</v>
          </cell>
          <cell r="B375" t="str">
            <v>VAR_fout</v>
          </cell>
          <cell r="C375" t="str">
            <v>TPBSc</v>
          </cell>
          <cell r="E375">
            <v>4.5763040287201291E-6</v>
          </cell>
          <cell r="F375">
            <v>2.2254804220663633E-5</v>
          </cell>
        </row>
        <row r="376">
          <cell r="A376" t="str">
            <v>T_B_c-ICENGA-S2</v>
          </cell>
          <cell r="B376" t="str">
            <v>VAR_fin</v>
          </cell>
          <cell r="C376" t="str">
            <v>TNGA</v>
          </cell>
          <cell r="E376">
            <v>5.3840089464408686E-5</v>
          </cell>
          <cell r="F376">
            <v>2.5205881007059924E-4</v>
          </cell>
        </row>
        <row r="377">
          <cell r="A377" t="str">
            <v>T_B_c-ICENGA-S2</v>
          </cell>
          <cell r="B377" t="str">
            <v>VAR_ncap</v>
          </cell>
          <cell r="C377" t="str">
            <v>-</v>
          </cell>
          <cell r="E377">
            <v>1.3263640861010401E-7</v>
          </cell>
          <cell r="F377">
            <v>3.78538553550339E-7</v>
          </cell>
        </row>
        <row r="378">
          <cell r="A378" t="str">
            <v>T_B_c-ICENGA-S2</v>
          </cell>
          <cell r="B378" t="str">
            <v>VAR_cap</v>
          </cell>
          <cell r="C378" t="str">
            <v>-</v>
          </cell>
          <cell r="E378">
            <v>1.3263640861010401E-7</v>
          </cell>
          <cell r="F378">
            <v>5.1117496216044296E-7</v>
          </cell>
          <cell r="G378">
            <v>1.8215915407460453E-9</v>
          </cell>
        </row>
        <row r="379">
          <cell r="A379" t="str">
            <v>T_B_u-ICEDSL-S1</v>
          </cell>
          <cell r="B379" t="str">
            <v>VAR_fout</v>
          </cell>
          <cell r="C379" t="str">
            <v>CO2_T</v>
          </cell>
          <cell r="D379">
            <v>1.9852015854647499E-2</v>
          </cell>
          <cell r="E379">
            <v>4.1128013975953857E-2</v>
          </cell>
          <cell r="F379">
            <v>14.711594255810734</v>
          </cell>
          <cell r="G379">
            <v>3.1125962101650898E-3</v>
          </cell>
          <cell r="H379">
            <v>9.0429234573410905E-5</v>
          </cell>
          <cell r="I379">
            <v>8.3083933243685907E-5</v>
          </cell>
        </row>
        <row r="380">
          <cell r="A380" t="str">
            <v>T_B_u-ICEDSL-S1</v>
          </cell>
          <cell r="B380" t="str">
            <v>VAR_fout</v>
          </cell>
          <cell r="C380" t="str">
            <v>TPBSu</v>
          </cell>
          <cell r="D380">
            <v>3.3561327116320521E-5</v>
          </cell>
          <cell r="E380">
            <v>7.0881345058398834E-5</v>
          </cell>
          <cell r="F380">
            <v>2.7171785267793739E-2</v>
          </cell>
          <cell r="G380">
            <v>5.2620781866802075E-6</v>
          </cell>
          <cell r="H380">
            <v>2.0081378791113233E-7</v>
          </cell>
          <cell r="I380">
            <v>2.0249321282032871E-7</v>
          </cell>
        </row>
        <row r="381">
          <cell r="A381" t="str">
            <v>T_B_u-ICEDSL-S1</v>
          </cell>
          <cell r="B381" t="str">
            <v>VAR_fin</v>
          </cell>
          <cell r="C381" t="str">
            <v>TDSL</v>
          </cell>
          <cell r="D381">
            <v>2.7083241275098935E-4</v>
          </cell>
          <cell r="E381">
            <v>5.6109159585203091E-4</v>
          </cell>
          <cell r="F381">
            <v>0.2007038779783184</v>
          </cell>
          <cell r="G381">
            <v>4.2463795500205947E-5</v>
          </cell>
          <cell r="H381">
            <v>1.2336866926795489E-6</v>
          </cell>
          <cell r="I381">
            <v>1.1334779432972158E-6</v>
          </cell>
        </row>
        <row r="382">
          <cell r="A382" t="str">
            <v>T_B_u-ICEDSL-S1</v>
          </cell>
          <cell r="B382" t="str">
            <v>VAR_ncap</v>
          </cell>
          <cell r="C382" t="str">
            <v>-</v>
          </cell>
          <cell r="E382">
            <v>8.0489654441825404E-7</v>
          </cell>
          <cell r="F382">
            <v>5.1097940621393201E-4</v>
          </cell>
          <cell r="H382">
            <v>1.6545701916702101E-8</v>
          </cell>
          <cell r="I382">
            <v>1.6573580511718E-8</v>
          </cell>
        </row>
        <row r="383">
          <cell r="A383" t="str">
            <v>T_B_u-ICEDSL-S1</v>
          </cell>
          <cell r="B383" t="str">
            <v>VAR_cap</v>
          </cell>
          <cell r="C383" t="str">
            <v>-</v>
          </cell>
          <cell r="D383">
            <v>7.0464135021097004E-7</v>
          </cell>
          <cell r="E383">
            <v>1.636823407990687E-6</v>
          </cell>
          <cell r="F383">
            <v>5.1261622962192241E-4</v>
          </cell>
          <cell r="G383">
            <v>1.1350850679129817E-7</v>
          </cell>
          <cell r="H383">
            <v>2.6499073079491099E-8</v>
          </cell>
          <cell r="I383">
            <v>2.8840612563054E-8</v>
          </cell>
        </row>
        <row r="384">
          <cell r="A384" t="str">
            <v>T_B_c-ICENGA-S3</v>
          </cell>
          <cell r="B384" t="str">
            <v>VAR_fout</v>
          </cell>
          <cell r="C384" t="str">
            <v>CO2_T</v>
          </cell>
          <cell r="E384">
            <v>1.84179535058015E-3</v>
          </cell>
          <cell r="F384">
            <v>7.9278551638547606E-3</v>
          </cell>
        </row>
        <row r="385">
          <cell r="A385" t="str">
            <v>T_B_c-ICENGA-S3</v>
          </cell>
          <cell r="B385" t="str">
            <v>VAR_fout</v>
          </cell>
          <cell r="C385" t="str">
            <v>TPBSc</v>
          </cell>
          <cell r="E385">
            <v>1.8425181396936082E-6</v>
          </cell>
          <cell r="F385">
            <v>8.222500422431402E-6</v>
          </cell>
        </row>
        <row r="386">
          <cell r="A386" t="str">
            <v>T_B_c-ICENGA-S3</v>
          </cell>
          <cell r="B386" t="str">
            <v>VAR_fin</v>
          </cell>
          <cell r="C386" t="str">
            <v>TNGA</v>
          </cell>
          <cell r="E386">
            <v>3.2655945932272241E-5</v>
          </cell>
          <cell r="F386">
            <v>1.4056480786976547E-4</v>
          </cell>
        </row>
        <row r="387">
          <cell r="A387" t="str">
            <v>T_B_c-ICENGA-S3</v>
          </cell>
          <cell r="B387" t="str">
            <v>VAR_ncap</v>
          </cell>
          <cell r="C387" t="str">
            <v>-</v>
          </cell>
          <cell r="E387">
            <v>7.0797204432499001E-8</v>
          </cell>
          <cell r="F387">
            <v>1.4335524461783E-7</v>
          </cell>
        </row>
        <row r="388">
          <cell r="A388" t="str">
            <v>T_B_c-ICENGA-S3</v>
          </cell>
          <cell r="B388" t="str">
            <v>VAR_cap</v>
          </cell>
          <cell r="C388" t="str">
            <v>-</v>
          </cell>
          <cell r="E388">
            <v>7.0797204432499001E-8</v>
          </cell>
          <cell r="F388">
            <v>2.1415244905032899E-7</v>
          </cell>
          <cell r="G388">
            <v>5.4697245971530001E-9</v>
          </cell>
        </row>
        <row r="389">
          <cell r="A389" t="str">
            <v>T_B_u-ICEDSL-S2</v>
          </cell>
          <cell r="B389" t="str">
            <v>VAR_fout</v>
          </cell>
          <cell r="C389" t="str">
            <v>CO2_T</v>
          </cell>
          <cell r="D389">
            <v>8.1022033872349102</v>
          </cell>
          <cell r="E389">
            <v>9.5811520682075741</v>
          </cell>
          <cell r="F389">
            <v>15.855353978772682</v>
          </cell>
        </row>
        <row r="390">
          <cell r="A390" t="str">
            <v>T_B_u-ICEDSL-S2</v>
          </cell>
          <cell r="B390" t="str">
            <v>VAR_fout</v>
          </cell>
          <cell r="C390" t="str">
            <v>TPBSu</v>
          </cell>
          <cell r="D390">
            <v>9.668023009216313E-3</v>
          </cell>
          <cell r="E390">
            <v>1.1464185861173388E-2</v>
          </cell>
          <cell r="F390">
            <v>1.9601481541336511E-2</v>
          </cell>
        </row>
        <row r="391">
          <cell r="A391" t="str">
            <v>T_B_u-ICEDSL-S2</v>
          </cell>
          <cell r="B391" t="str">
            <v>VAR_fin</v>
          </cell>
          <cell r="C391" t="str">
            <v>TDSL</v>
          </cell>
          <cell r="D391">
            <v>0.11053483475081741</v>
          </cell>
          <cell r="E391">
            <v>0.13071148797008958</v>
          </cell>
          <cell r="F391">
            <v>0.21630769411695319</v>
          </cell>
        </row>
        <row r="392">
          <cell r="A392" t="str">
            <v>T_B_u-ICEDSL-S2</v>
          </cell>
          <cell r="B392" t="str">
            <v>VAR_ncap</v>
          </cell>
          <cell r="C392" t="str">
            <v>-</v>
          </cell>
          <cell r="E392">
            <v>5.5345481579059204E-7</v>
          </cell>
          <cell r="F392">
            <v>1.512707762623E-4</v>
          </cell>
        </row>
        <row r="393">
          <cell r="A393" t="str">
            <v>T_B_u-ICEDSL-S2</v>
          </cell>
          <cell r="B393" t="str">
            <v>VAR_cap</v>
          </cell>
          <cell r="C393" t="str">
            <v>-</v>
          </cell>
          <cell r="D393">
            <v>1.8449218157710572E-4</v>
          </cell>
          <cell r="E393">
            <v>2.1839862471701989E-4</v>
          </cell>
          <cell r="F393">
            <v>3.6973245878417781E-4</v>
          </cell>
          <cell r="G393">
            <v>-3.7860093859889282E-9</v>
          </cell>
          <cell r="H393">
            <v>-1.8109310913305601E-9</v>
          </cell>
        </row>
        <row r="394">
          <cell r="A394" t="str">
            <v>T_B_c-ICENGA-S4</v>
          </cell>
          <cell r="B394" t="str">
            <v>VAR_fout</v>
          </cell>
          <cell r="C394" t="str">
            <v>CO2_T</v>
          </cell>
          <cell r="F394">
            <v>2.1517315544349801E-4</v>
          </cell>
        </row>
        <row r="395">
          <cell r="A395" t="str">
            <v>T_B_c-ICENGA-S4</v>
          </cell>
          <cell r="B395" t="str">
            <v>VAR_fout</v>
          </cell>
          <cell r="C395" t="str">
            <v>TPBSc</v>
          </cell>
          <cell r="F395">
            <v>1.5136030958524932E-7</v>
          </cell>
        </row>
        <row r="396">
          <cell r="A396" t="str">
            <v>T_B_c-ICENGA-S4</v>
          </cell>
          <cell r="B396" t="str">
            <v>VAR_fin</v>
          </cell>
          <cell r="C396" t="str">
            <v>TNGA</v>
          </cell>
          <cell r="F396">
            <v>3.8151268695655614E-6</v>
          </cell>
        </row>
        <row r="397">
          <cell r="A397" t="str">
            <v>T_B_c-ICENGA-S4</v>
          </cell>
          <cell r="B397" t="str">
            <v>VAR_ncap</v>
          </cell>
          <cell r="C397" t="str">
            <v>-</v>
          </cell>
          <cell r="F397">
            <v>1.5095037643972299E-8</v>
          </cell>
        </row>
        <row r="398">
          <cell r="A398" t="str">
            <v>T_B_c-ICENGA-S4</v>
          </cell>
          <cell r="B398" t="str">
            <v>VAR_cap</v>
          </cell>
          <cell r="C398" t="str">
            <v>-</v>
          </cell>
          <cell r="F398">
            <v>1.5095037643972299E-8</v>
          </cell>
          <cell r="G398">
            <v>-2.1561488834299998E-10</v>
          </cell>
        </row>
        <row r="399">
          <cell r="A399" t="str">
            <v>T_B_u-ICEDSL-S3</v>
          </cell>
          <cell r="B399" t="str">
            <v>VAR_fout</v>
          </cell>
          <cell r="C399" t="str">
            <v>CO2_T</v>
          </cell>
          <cell r="D399">
            <v>45.396353463455327</v>
          </cell>
          <cell r="E399">
            <v>63.68528987984287</v>
          </cell>
          <cell r="F399">
            <v>63.738102133800119</v>
          </cell>
          <cell r="H399">
            <v>1.0652902460400701E-4</v>
          </cell>
        </row>
        <row r="400">
          <cell r="A400" t="str">
            <v>T_B_u-ICEDSL-S3</v>
          </cell>
          <cell r="B400" t="str">
            <v>VAR_fout</v>
          </cell>
          <cell r="C400" t="str">
            <v>TPBSu</v>
          </cell>
          <cell r="D400">
            <v>3.5889457783325453E-2</v>
          </cell>
          <cell r="E400">
            <v>5.0482564125041991E-2</v>
          </cell>
          <cell r="F400">
            <v>5.0525099135780564E-2</v>
          </cell>
          <cell r="H400">
            <v>1.0924753100354109E-7</v>
          </cell>
        </row>
        <row r="401">
          <cell r="A401" t="str">
            <v>T_B_u-ICEDSL-S3</v>
          </cell>
          <cell r="B401" t="str">
            <v>VAR_fin</v>
          </cell>
          <cell r="C401" t="str">
            <v>TDSL</v>
          </cell>
          <cell r="D401">
            <v>0.61932269390798467</v>
          </cell>
          <cell r="E401">
            <v>0.86883069413155423</v>
          </cell>
          <cell r="F401">
            <v>0.869551188728513</v>
          </cell>
          <cell r="H401">
            <v>1.453329121473498E-6</v>
          </cell>
        </row>
        <row r="402">
          <cell r="A402" t="str">
            <v>T_B_u-ICEDSL-S3</v>
          </cell>
          <cell r="B402" t="str">
            <v>VAR_ncap</v>
          </cell>
          <cell r="C402" t="str">
            <v>-</v>
          </cell>
          <cell r="E402">
            <v>1.7978136217597901E-7</v>
          </cell>
          <cell r="F402">
            <v>1.5967485078745799E-7</v>
          </cell>
        </row>
        <row r="403">
          <cell r="A403" t="str">
            <v>T_B_u-ICEDSL-S3</v>
          </cell>
          <cell r="B403" t="str">
            <v>VAR_cap</v>
          </cell>
          <cell r="C403" t="str">
            <v>-</v>
          </cell>
          <cell r="D403">
            <v>8.0665498602382657E-4</v>
          </cell>
          <cell r="E403">
            <v>9.5257715133384121E-4</v>
          </cell>
          <cell r="F403">
            <v>9.5279490587077723E-4</v>
          </cell>
          <cell r="G403">
            <v>-5.0000831089999469E-9</v>
          </cell>
          <cell r="H403">
            <v>-1.2850644464362499E-8</v>
          </cell>
        </row>
        <row r="404">
          <cell r="A404" t="str">
            <v>T_B_u-ICEDSL-S4</v>
          </cell>
          <cell r="B404" t="str">
            <v>VAR_fout</v>
          </cell>
          <cell r="C404" t="str">
            <v>CO2_T</v>
          </cell>
          <cell r="D404">
            <v>0.22113082513557719</v>
          </cell>
          <cell r="F404">
            <v>5.1352297833673192E-4</v>
          </cell>
        </row>
        <row r="405">
          <cell r="A405" t="str">
            <v>T_B_u-ICEDSL-S4</v>
          </cell>
          <cell r="B405" t="str">
            <v>VAR_fout</v>
          </cell>
          <cell r="C405" t="str">
            <v>TPBSu</v>
          </cell>
          <cell r="D405">
            <v>1.1658838087180853E-4</v>
          </cell>
          <cell r="F405">
            <v>2.7238022951944718E-7</v>
          </cell>
        </row>
        <row r="406">
          <cell r="A406" t="str">
            <v>T_B_u-ICEDSL-S4</v>
          </cell>
          <cell r="B406" t="str">
            <v>VAR_fin</v>
          </cell>
          <cell r="C406" t="str">
            <v>TDSL</v>
          </cell>
          <cell r="D406">
            <v>3.016791611672271E-3</v>
          </cell>
          <cell r="F406">
            <v>7.0057705093687875E-6</v>
          </cell>
        </row>
        <row r="407">
          <cell r="A407" t="str">
            <v>T_B_u-ICEDSL-S4</v>
          </cell>
          <cell r="B407" t="str">
            <v>VAR_cap</v>
          </cell>
          <cell r="C407" t="str">
            <v>-</v>
          </cell>
          <cell r="D407">
            <v>2.7437516208620188E-6</v>
          </cell>
          <cell r="E407">
            <v>6.4014620540992141E-9</v>
          </cell>
          <cell r="F407">
            <v>4.808699327980987E-8</v>
          </cell>
          <cell r="G407">
            <v>-1.5153402649789711E-9</v>
          </cell>
          <cell r="H407">
            <v>-6.8554485554732704E-9</v>
          </cell>
        </row>
        <row r="408">
          <cell r="A408" t="str">
            <v>T_B_c-ICENGAEXT</v>
          </cell>
          <cell r="B408" t="str">
            <v>VAR_fout</v>
          </cell>
          <cell r="C408" t="str">
            <v>CO2_T</v>
          </cell>
          <cell r="D408">
            <v>7.8000444160070802E-3</v>
          </cell>
          <cell r="E408">
            <v>7.7912295372542101E-3</v>
          </cell>
          <cell r="F408">
            <v>7.7143150647537703E-3</v>
          </cell>
        </row>
        <row r="409">
          <cell r="A409" t="str">
            <v>T_B_c-ICENGAEXT</v>
          </cell>
          <cell r="B409" t="str">
            <v>VAR_fout</v>
          </cell>
          <cell r="C409" t="str">
            <v>TPBSc</v>
          </cell>
          <cell r="D409">
            <v>1.3761061841326696E-3</v>
          </cell>
          <cell r="E409">
            <v>1.1019337076489605E-3</v>
          </cell>
          <cell r="F409">
            <v>6.8616638855697749E-4</v>
          </cell>
        </row>
        <row r="410">
          <cell r="A410" t="str">
            <v>T_B_c-ICENGAEXT</v>
          </cell>
          <cell r="B410" t="str">
            <v>VAR_fin</v>
          </cell>
          <cell r="C410" t="str">
            <v>TNGA</v>
          </cell>
          <cell r="D410">
            <v>1.3829865985828159E-4</v>
          </cell>
          <cell r="E410">
            <v>1.3814236768181211E-4</v>
          </cell>
          <cell r="F410">
            <v>1.3677863589988955E-4</v>
          </cell>
        </row>
        <row r="411">
          <cell r="A411" t="str">
            <v>T_B_c-ICENGAEXT</v>
          </cell>
          <cell r="B411" t="str">
            <v>VAR_cap</v>
          </cell>
          <cell r="C411" t="str">
            <v>-</v>
          </cell>
          <cell r="D411">
            <v>2.9722792607802899E-5</v>
          </cell>
          <cell r="E411">
            <v>2.3778234086242301E-5</v>
          </cell>
          <cell r="F411">
            <v>1.4861396303901497E-5</v>
          </cell>
        </row>
        <row r="412">
          <cell r="A412" t="str">
            <v>T_B_u-ICEDSLEXT</v>
          </cell>
          <cell r="B412" t="str">
            <v>VAR_fout</v>
          </cell>
          <cell r="C412" t="str">
            <v>CO2_T</v>
          </cell>
          <cell r="D412">
            <v>1.2710055090490699</v>
          </cell>
          <cell r="E412">
            <v>1.2694291665672901</v>
          </cell>
          <cell r="F412">
            <v>1.26446334316872</v>
          </cell>
        </row>
        <row r="413">
          <cell r="A413" t="str">
            <v>T_B_u-ICEDSLEXT</v>
          </cell>
          <cell r="B413" t="str">
            <v>VAR_fout</v>
          </cell>
          <cell r="C413" t="str">
            <v>TPBSu</v>
          </cell>
          <cell r="D413">
            <v>0.24221378093818019</v>
          </cell>
          <cell r="E413">
            <v>0.19378445036703904</v>
          </cell>
          <cell r="F413">
            <v>0.12111541001828996</v>
          </cell>
        </row>
        <row r="414">
          <cell r="A414" t="str">
            <v>T_B_u-ICEDSLEXT</v>
          </cell>
          <cell r="B414" t="str">
            <v>VAR_fin</v>
          </cell>
          <cell r="C414" t="str">
            <v>TDSL</v>
          </cell>
          <cell r="D414">
            <v>1.7339775021133267E-2</v>
          </cell>
          <cell r="E414">
            <v>1.7318269666675202E-2</v>
          </cell>
          <cell r="F414">
            <v>1.7250523099163934E-2</v>
          </cell>
        </row>
        <row r="415">
          <cell r="A415" t="str">
            <v>T_B_u-ICEDSLEXT</v>
          </cell>
          <cell r="B415" t="str">
            <v>VAR_cap</v>
          </cell>
          <cell r="C415" t="str">
            <v>-</v>
          </cell>
          <cell r="D415">
            <v>4.5678362175525303E-3</v>
          </cell>
          <cell r="E415">
            <v>3.6542689740420198E-3</v>
          </cell>
          <cell r="F415">
            <v>2.2839181087762699E-3</v>
          </cell>
        </row>
        <row r="416">
          <cell r="A416" t="str">
            <v>D-T-ELC-LGV</v>
          </cell>
          <cell r="B416" t="str">
            <v>VAR_fout</v>
          </cell>
          <cell r="C416" t="str">
            <v>T-ELC-LGV_BatSTGin</v>
          </cell>
          <cell r="D416">
            <v>3.5523650510669844E-2</v>
          </cell>
          <cell r="E416">
            <v>7.9263101338969813E-2</v>
          </cell>
          <cell r="F416">
            <v>0.29611599220417345</v>
          </cell>
          <cell r="G416">
            <v>1.2291346329564692</v>
          </cell>
          <cell r="H416">
            <v>4.3317046467802749</v>
          </cell>
          <cell r="I416">
            <v>4.488024846228214</v>
          </cell>
        </row>
        <row r="417">
          <cell r="A417" t="str">
            <v>D-T-ELC-LGV</v>
          </cell>
          <cell r="B417" t="str">
            <v>VAR_fin</v>
          </cell>
          <cell r="C417" t="str">
            <v>TELC</v>
          </cell>
          <cell r="D417">
            <v>3.5523650510669844E-2</v>
          </cell>
          <cell r="E417">
            <v>7.9263101338969813E-2</v>
          </cell>
          <cell r="F417">
            <v>0.29611599220417345</v>
          </cell>
          <cell r="G417">
            <v>1.2291346329564692</v>
          </cell>
          <cell r="H417">
            <v>4.3317046467802749</v>
          </cell>
          <cell r="I417">
            <v>4.488024846228214</v>
          </cell>
        </row>
        <row r="418">
          <cell r="A418" t="str">
            <v>D-T-ELC-LGV</v>
          </cell>
          <cell r="B418" t="str">
            <v>VAR_ncap</v>
          </cell>
          <cell r="C418" t="str">
            <v>-</v>
          </cell>
          <cell r="D418">
            <v>3.75649087154625E-3</v>
          </cell>
          <cell r="E418">
            <v>4.6222228199079502E-3</v>
          </cell>
          <cell r="F418">
            <v>2.29209147024583E-2</v>
          </cell>
          <cell r="G418">
            <v>0.10023905275176299</v>
          </cell>
          <cell r="H418">
            <v>0.26281823163437001</v>
          </cell>
          <cell r="I418">
            <v>0.31146462873570202</v>
          </cell>
        </row>
        <row r="419">
          <cell r="A419" t="str">
            <v>D-T-ELC-LGV</v>
          </cell>
          <cell r="B419" t="str">
            <v>VAR_cap</v>
          </cell>
          <cell r="C419" t="str">
            <v>-</v>
          </cell>
          <cell r="D419">
            <v>3.75649087154625E-3</v>
          </cell>
          <cell r="E419">
            <v>8.3787136914542006E-3</v>
          </cell>
          <cell r="F419">
            <v>3.1299628393912503E-2</v>
          </cell>
          <cell r="G419">
            <v>0.129918379065326</v>
          </cell>
          <cell r="H419">
            <v>0.457858029083903</v>
          </cell>
          <cell r="I419">
            <v>0.47438091135910998</v>
          </cell>
        </row>
        <row r="420">
          <cell r="A420" t="str">
            <v>T_B_c-FCLH2O-S1</v>
          </cell>
          <cell r="B420" t="str">
            <v>VAR_fout</v>
          </cell>
          <cell r="C420" t="str">
            <v>TPBSc</v>
          </cell>
          <cell r="G420">
            <v>3.6739524236235854E-6</v>
          </cell>
          <cell r="H420">
            <v>1.2086695180696099E-6</v>
          </cell>
          <cell r="I420">
            <v>1.5224315063186008E-6</v>
          </cell>
        </row>
        <row r="421">
          <cell r="A421" t="str">
            <v>T_B_c-FCLH2O-S1</v>
          </cell>
          <cell r="B421" t="str">
            <v>VAR_fin</v>
          </cell>
          <cell r="C421" t="str">
            <v>TH2O</v>
          </cell>
          <cell r="G421">
            <v>1.567374065912163E-5</v>
          </cell>
          <cell r="H421">
            <v>4.5551258923527318E-6</v>
          </cell>
          <cell r="I421">
            <v>5.1168155399218577E-6</v>
          </cell>
        </row>
        <row r="422">
          <cell r="A422" t="str">
            <v>T_B_c-FCLH2O-S1</v>
          </cell>
          <cell r="B422" t="str">
            <v>VAR_ncap</v>
          </cell>
          <cell r="C422" t="str">
            <v>-</v>
          </cell>
          <cell r="G422">
            <v>1.02000202129919E-7</v>
          </cell>
          <cell r="H422">
            <v>3.6985046433480398E-8</v>
          </cell>
          <cell r="I422">
            <v>4.97458996103801E-8</v>
          </cell>
        </row>
        <row r="423">
          <cell r="A423" t="str">
            <v>T_B_c-FCLH2O-S1</v>
          </cell>
          <cell r="B423" t="str">
            <v>VAR_cap</v>
          </cell>
          <cell r="C423" t="str">
            <v>-</v>
          </cell>
          <cell r="G423">
            <v>1.02000202129919E-7</v>
          </cell>
          <cell r="H423">
            <v>6.84216314524672E-8</v>
          </cell>
          <cell r="I423">
            <v>7.56345569527586E-8</v>
          </cell>
        </row>
        <row r="424">
          <cell r="A424" t="str">
            <v>T_B_c-FCLH2O-S2</v>
          </cell>
          <cell r="B424" t="str">
            <v>VAR_fout</v>
          </cell>
          <cell r="C424" t="str">
            <v>TPBSc</v>
          </cell>
          <cell r="G424">
            <v>3.9731240218183625E-6</v>
          </cell>
          <cell r="H424">
            <v>2.0940627806547506E-6</v>
          </cell>
          <cell r="I424">
            <v>2.294256282816371E-6</v>
          </cell>
        </row>
        <row r="425">
          <cell r="A425" t="str">
            <v>T_B_c-FCLH2O-S2</v>
          </cell>
          <cell r="B425" t="str">
            <v>VAR_fin</v>
          </cell>
          <cell r="C425" t="str">
            <v>TH2O</v>
          </cell>
          <cell r="G425">
            <v>2.3495496378725539E-5</v>
          </cell>
          <cell r="H425">
            <v>1.1122149629626646E-5</v>
          </cell>
          <cell r="I425">
            <v>1.0773028219622047E-5</v>
          </cell>
        </row>
        <row r="426">
          <cell r="A426" t="str">
            <v>T_B_c-FCLH2O-S2</v>
          </cell>
          <cell r="B426" t="str">
            <v>VAR_ncap</v>
          </cell>
          <cell r="C426" t="str">
            <v>-</v>
          </cell>
          <cell r="G426">
            <v>9.8506841274931994E-8</v>
          </cell>
          <cell r="H426">
            <v>4.3574755836895097E-8</v>
          </cell>
          <cell r="I426">
            <v>5.7258241030279399E-8</v>
          </cell>
        </row>
        <row r="427">
          <cell r="A427" t="str">
            <v>T_B_c-FCLH2O-S2</v>
          </cell>
          <cell r="B427" t="str">
            <v>VAR_cap</v>
          </cell>
          <cell r="C427" t="str">
            <v>-</v>
          </cell>
          <cell r="G427">
            <v>9.8506841274931994E-8</v>
          </cell>
          <cell r="H427">
            <v>9.2071872268230047E-8</v>
          </cell>
          <cell r="I427">
            <v>8.5715625129848894E-8</v>
          </cell>
        </row>
        <row r="428">
          <cell r="A428" t="str">
            <v>T_B_c-FCLH2O-S3</v>
          </cell>
          <cell r="B428" t="str">
            <v>VAR_fout</v>
          </cell>
          <cell r="C428" t="str">
            <v>TPBSc</v>
          </cell>
          <cell r="G428">
            <v>2.0316245259822953E-6</v>
          </cell>
          <cell r="H428">
            <v>2.4723813551024758E-6</v>
          </cell>
          <cell r="I428">
            <v>2.2014322186284574E-6</v>
          </cell>
        </row>
        <row r="429">
          <cell r="A429" t="str">
            <v>T_B_c-FCLH2O-S3</v>
          </cell>
          <cell r="B429" t="str">
            <v>VAR_fin</v>
          </cell>
          <cell r="C429" t="str">
            <v>TH2O</v>
          </cell>
          <cell r="G429">
            <v>1.7961748914539653E-5</v>
          </cell>
          <cell r="H429">
            <v>1.9502924331252825E-5</v>
          </cell>
          <cell r="I429">
            <v>1.5283392354807107E-5</v>
          </cell>
        </row>
        <row r="430">
          <cell r="A430" t="str">
            <v>T_B_c-FCLH2O-S3</v>
          </cell>
          <cell r="B430" t="str">
            <v>VAR_ncap</v>
          </cell>
          <cell r="C430" t="str">
            <v>-</v>
          </cell>
          <cell r="G430">
            <v>6.36799908610152E-8</v>
          </cell>
          <cell r="H430">
            <v>5.5348832746079201E-8</v>
          </cell>
          <cell r="I430">
            <v>6.1356691620667894E-8</v>
          </cell>
        </row>
        <row r="431">
          <cell r="A431" t="str">
            <v>T_B_c-FCLH2O-S3</v>
          </cell>
          <cell r="B431" t="str">
            <v>VAR_cap</v>
          </cell>
          <cell r="C431" t="str">
            <v>-</v>
          </cell>
          <cell r="G431">
            <v>6.36799908610152E-8</v>
          </cell>
          <cell r="H431">
            <v>8.9486629190663904E-8</v>
          </cell>
          <cell r="I431">
            <v>8.0314842818699097E-8</v>
          </cell>
        </row>
        <row r="432">
          <cell r="A432" t="str">
            <v>T_C-HYBGSLEXT</v>
          </cell>
          <cell r="B432" t="str">
            <v>VAR_fout</v>
          </cell>
          <cell r="C432" t="str">
            <v>CO2_T</v>
          </cell>
          <cell r="D432">
            <v>92.549694206587503</v>
          </cell>
          <cell r="E432">
            <v>91.724542556802504</v>
          </cell>
          <cell r="F432">
            <v>68.278390395898995</v>
          </cell>
          <cell r="G432">
            <v>32.395732167627202</v>
          </cell>
        </row>
        <row r="433">
          <cell r="A433" t="str">
            <v>T_C-HYBGSLEXT</v>
          </cell>
          <cell r="B433" t="str">
            <v>VAR_fout</v>
          </cell>
          <cell r="C433" t="str">
            <v>TPCAR</v>
          </cell>
          <cell r="D433">
            <v>0.61924943577995406</v>
          </cell>
          <cell r="E433">
            <v>0.62769442155172328</v>
          </cell>
          <cell r="F433">
            <v>0.48284063064901739</v>
          </cell>
          <cell r="G433">
            <v>0.24142267761960925</v>
          </cell>
        </row>
        <row r="434">
          <cell r="A434" t="str">
            <v>T_C-HYBGSLEXT</v>
          </cell>
          <cell r="B434" t="str">
            <v>VAR_fin</v>
          </cell>
          <cell r="C434" t="str">
            <v>TGSL</v>
          </cell>
          <cell r="D434">
            <v>1.254060897108233</v>
          </cell>
          <cell r="E434">
            <v>1.2428799804444777</v>
          </cell>
          <cell r="F434">
            <v>0.92518144167884697</v>
          </cell>
          <cell r="G434">
            <v>0.43896656053695365</v>
          </cell>
        </row>
        <row r="435">
          <cell r="A435" t="str">
            <v>T_C-HYBGSLEXT</v>
          </cell>
          <cell r="B435" t="str">
            <v>VAR_cap</v>
          </cell>
          <cell r="C435" t="str">
            <v>-</v>
          </cell>
          <cell r="D435">
            <v>6.5841999999999998E-2</v>
          </cell>
          <cell r="E435">
            <v>5.7063066666666697E-2</v>
          </cell>
          <cell r="F435">
            <v>4.38946666666667E-2</v>
          </cell>
          <cell r="G435">
            <v>2.1947333333333301E-2</v>
          </cell>
        </row>
        <row r="436">
          <cell r="A436" t="str">
            <v>T_B_c-FCLH2O-S4</v>
          </cell>
          <cell r="B436" t="str">
            <v>VAR_fout</v>
          </cell>
          <cell r="C436" t="str">
            <v>TPBSc</v>
          </cell>
          <cell r="H436">
            <v>1.06820243167017E-8</v>
          </cell>
        </row>
        <row r="437">
          <cell r="A437" t="str">
            <v>T_B_c-FCLH2O-S4</v>
          </cell>
          <cell r="B437" t="str">
            <v>VAR_fin</v>
          </cell>
          <cell r="C437" t="str">
            <v>TH2O</v>
          </cell>
          <cell r="H437">
            <v>1.3101003981315101E-7</v>
          </cell>
        </row>
        <row r="438">
          <cell r="A438" t="str">
            <v>T_B_c-FCLH2O-S4</v>
          </cell>
          <cell r="B438" t="str">
            <v>VAR_ncap</v>
          </cell>
          <cell r="C438" t="str">
            <v>-</v>
          </cell>
          <cell r="G438">
            <v>1.05552258747172E-8</v>
          </cell>
        </row>
        <row r="439">
          <cell r="A439" t="str">
            <v>T_B_c-FCLH2O-S4</v>
          </cell>
          <cell r="B439" t="str">
            <v>VAR_cap</v>
          </cell>
          <cell r="C439" t="str">
            <v>-</v>
          </cell>
          <cell r="G439">
            <v>1.05552258747172E-8</v>
          </cell>
        </row>
        <row r="440">
          <cell r="A440" t="str">
            <v>TPAVDKEREXT</v>
          </cell>
          <cell r="B440" t="str">
            <v>VAR_fout</v>
          </cell>
          <cell r="C440" t="str">
            <v>CO2_T</v>
          </cell>
          <cell r="D440">
            <v>79.576349423418094</v>
          </cell>
          <cell r="E440">
            <v>100.796237247683</v>
          </cell>
          <cell r="F440">
            <v>132.626068984081</v>
          </cell>
          <cell r="G440">
            <v>185.675788544743</v>
          </cell>
          <cell r="H440">
            <v>154.38211110512901</v>
          </cell>
          <cell r="I440">
            <v>123.088433665514</v>
          </cell>
        </row>
        <row r="441">
          <cell r="A441" t="str">
            <v>TPAVDKEREXT</v>
          </cell>
          <cell r="B441" t="str">
            <v>VAR_fout</v>
          </cell>
          <cell r="C441" t="str">
            <v>TPAVD</v>
          </cell>
          <cell r="D441">
            <v>1.0930817228491501</v>
          </cell>
          <cell r="E441">
            <v>1.3845636984571901</v>
          </cell>
          <cell r="F441">
            <v>1.82178666186924</v>
          </cell>
          <cell r="G441">
            <v>2.5504916008893299</v>
          </cell>
          <cell r="H441">
            <v>2.1206333943012199</v>
          </cell>
          <cell r="I441">
            <v>1.6907751877131001</v>
          </cell>
        </row>
        <row r="442">
          <cell r="A442" t="str">
            <v>TPAVDKEREXT</v>
          </cell>
          <cell r="B442" t="str">
            <v>VAR_fin</v>
          </cell>
          <cell r="C442" t="str">
            <v>TKER</v>
          </cell>
          <cell r="D442">
            <v>1.0930817228491501</v>
          </cell>
          <cell r="E442">
            <v>1.3845636984571901</v>
          </cell>
          <cell r="F442">
            <v>1.82178666186924</v>
          </cell>
          <cell r="G442">
            <v>2.5504916008893299</v>
          </cell>
          <cell r="H442">
            <v>2.1206333943012199</v>
          </cell>
          <cell r="I442">
            <v>1.6907751877131001</v>
          </cell>
        </row>
        <row r="443">
          <cell r="A443" t="str">
            <v>TPAVDKEREXT</v>
          </cell>
          <cell r="B443" t="str">
            <v>VAR_ncap</v>
          </cell>
          <cell r="C443" t="str">
            <v>-</v>
          </cell>
          <cell r="D443">
            <v>0.99006946898098103</v>
          </cell>
          <cell r="E443">
            <v>1.7306969080011301</v>
          </cell>
          <cell r="F443">
            <v>1.4452701383354101</v>
          </cell>
          <cell r="G443">
            <v>1.6658732760713499</v>
          </cell>
          <cell r="H443">
            <v>0.98001712270056696</v>
          </cell>
          <cell r="I443">
            <v>1.19387881622832</v>
          </cell>
        </row>
        <row r="444">
          <cell r="A444" t="str">
            <v>TPAVDKEREXT</v>
          </cell>
          <cell r="B444" t="str">
            <v>VAR_cap</v>
          </cell>
          <cell r="C444" t="str">
            <v>-</v>
          </cell>
          <cell r="D444">
            <v>2.0831511918301313</v>
          </cell>
          <cell r="E444">
            <v>3.81384809983127</v>
          </cell>
          <cell r="F444">
            <v>3.9554022231069599</v>
          </cell>
          <cell r="G444">
            <v>4.0996126817571801</v>
          </cell>
          <cell r="H444">
            <v>2.6577091419250651</v>
          </cell>
          <cell r="I444">
            <v>1.9167796989177599</v>
          </cell>
        </row>
        <row r="445">
          <cell r="A445" t="str">
            <v>T_C-ICE-GSL-S1</v>
          </cell>
          <cell r="B445" t="str">
            <v>VAR_fout</v>
          </cell>
          <cell r="C445" t="str">
            <v>CO2_T</v>
          </cell>
          <cell r="D445">
            <v>35.707805568760442</v>
          </cell>
          <cell r="E445">
            <v>40.619020196422802</v>
          </cell>
          <cell r="F445">
            <v>28.449147617298934</v>
          </cell>
          <cell r="G445">
            <v>21.599720372855753</v>
          </cell>
          <cell r="H445">
            <v>6.4286252485430101E-2</v>
          </cell>
          <cell r="I445">
            <v>1.3949509244530769E-2</v>
          </cell>
        </row>
        <row r="446">
          <cell r="A446" t="str">
            <v>T_C-ICE-GSL-S1</v>
          </cell>
          <cell r="B446" t="str">
            <v>VAR_fout</v>
          </cell>
          <cell r="C446" t="str">
            <v>TPCAR</v>
          </cell>
          <cell r="D446">
            <v>0.33184810177649271</v>
          </cell>
          <cell r="E446">
            <v>0.37214297852048311</v>
          </cell>
          <cell r="F446">
            <v>0.26070130557894788</v>
          </cell>
          <cell r="G446">
            <v>0.20006264801574083</v>
          </cell>
          <cell r="H446">
            <v>5.37426341281605E-4</v>
          </cell>
          <cell r="I446">
            <v>1.2839026521247365E-4</v>
          </cell>
        </row>
        <row r="447">
          <cell r="A447" t="str">
            <v>T_C-ICE-GSL-S1</v>
          </cell>
          <cell r="B447" t="str">
            <v>VAR_fin</v>
          </cell>
          <cell r="C447" t="str">
            <v>TGSL</v>
          </cell>
          <cell r="D447">
            <v>0.48384560391274378</v>
          </cell>
          <cell r="E447">
            <v>0.55039322759380482</v>
          </cell>
          <cell r="F447">
            <v>0.38548980511245129</v>
          </cell>
          <cell r="G447">
            <v>0.29267913784357413</v>
          </cell>
          <cell r="H447">
            <v>8.7108743205189859E-4</v>
          </cell>
          <cell r="I447">
            <v>1.8901774044079636E-4</v>
          </cell>
        </row>
        <row r="448">
          <cell r="A448" t="str">
            <v>T_C-ICE-GSL-S1</v>
          </cell>
          <cell r="B448" t="str">
            <v>VAR_ncap</v>
          </cell>
          <cell r="C448" t="str">
            <v>-</v>
          </cell>
          <cell r="E448">
            <v>4.7891785759171399E-6</v>
          </cell>
          <cell r="F448">
            <v>3.1566083865536802E-4</v>
          </cell>
          <cell r="G448">
            <v>3.7952012799455003E-5</v>
          </cell>
          <cell r="H448">
            <v>1.5464715003910401E-5</v>
          </cell>
          <cell r="I448">
            <v>4.8245774906549604E-6</v>
          </cell>
        </row>
        <row r="449">
          <cell r="A449" t="str">
            <v>T_C-ICE-GSL-S1</v>
          </cell>
          <cell r="B449" t="str">
            <v>VAR_cap</v>
          </cell>
          <cell r="C449" t="str">
            <v>-</v>
          </cell>
          <cell r="D449">
            <v>3.6541121188918307E-2</v>
          </cell>
          <cell r="E449">
            <v>3.9758908056583726E-2</v>
          </cell>
          <cell r="F449">
            <v>3.9606982561651946E-2</v>
          </cell>
          <cell r="G449">
            <v>3.0399572309120753E-2</v>
          </cell>
          <cell r="H449">
            <v>7.9243593724216493E-5</v>
          </cell>
          <cell r="I449">
            <v>1.8827844990502293E-5</v>
          </cell>
        </row>
        <row r="450">
          <cell r="A450" t="str">
            <v>V2G</v>
          </cell>
          <cell r="B450" t="str">
            <v>VAR_fout</v>
          </cell>
          <cell r="C450" t="str">
            <v>ELC35</v>
          </cell>
          <cell r="G450">
            <v>2.6544745004587107E-2</v>
          </cell>
          <cell r="H450">
            <v>6.1594702743367327E-2</v>
          </cell>
          <cell r="I450">
            <v>2.0732094841709832</v>
          </cell>
        </row>
        <row r="451">
          <cell r="A451" t="str">
            <v>V2G</v>
          </cell>
          <cell r="B451" t="str">
            <v>VAR_fin</v>
          </cell>
          <cell r="C451" t="str">
            <v>T-ELC-Bus_c_BatSTGout_S1</v>
          </cell>
          <cell r="G451">
            <v>7.950708447558519E-4</v>
          </cell>
          <cell r="H451">
            <v>1.4037377623441285E-3</v>
          </cell>
          <cell r="I451">
            <v>1.0525959738567632E-3</v>
          </cell>
        </row>
        <row r="452">
          <cell r="A452" t="str">
            <v>V2G</v>
          </cell>
          <cell r="B452" t="str">
            <v>VAR_fin</v>
          </cell>
          <cell r="C452" t="str">
            <v>T-ELC-Bus_c_BatSTGout_S2</v>
          </cell>
          <cell r="G452">
            <v>6.9339705102927141E-4</v>
          </cell>
          <cell r="H452">
            <v>1.1867261428953333E-3</v>
          </cell>
          <cell r="I452">
            <v>8.2378165066530917E-4</v>
          </cell>
        </row>
        <row r="453">
          <cell r="A453" t="str">
            <v>V2G</v>
          </cell>
          <cell r="B453" t="str">
            <v>VAR_fin</v>
          </cell>
          <cell r="C453" t="str">
            <v>T-ELC-Bus_c_BatSTGout_S3</v>
          </cell>
          <cell r="G453">
            <v>1.0688710260174414E-4</v>
          </cell>
          <cell r="H453">
            <v>1.0396427034575134E-4</v>
          </cell>
          <cell r="I453">
            <v>9.9877903112578217E-5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T-ELC-Bus_c_BatSTGout_S4</v>
          </cell>
          <cell r="G454">
            <v>1.2950771570131538E-4</v>
          </cell>
          <cell r="H454">
            <v>1.5951421863132995E-4</v>
          </cell>
          <cell r="I454">
            <v>9.9456343797947865E-5</v>
          </cell>
        </row>
        <row r="455">
          <cell r="A455" t="str">
            <v>V2G</v>
          </cell>
          <cell r="B455" t="str">
            <v>VAR_fin</v>
          </cell>
          <cell r="C455" t="str">
            <v>T-ELC-car-BatSTGOut_S1</v>
          </cell>
          <cell r="G455">
            <v>5.1718410372085799E-3</v>
          </cell>
          <cell r="H455">
            <v>1.2951200199474398E-2</v>
          </cell>
          <cell r="I455">
            <v>0.60327442311604684</v>
          </cell>
        </row>
        <row r="456">
          <cell r="A456" t="str">
            <v>V2G</v>
          </cell>
          <cell r="B456" t="str">
            <v>VAR_fin</v>
          </cell>
          <cell r="C456" t="str">
            <v>T-ELC-car-BatSTGOut_S2</v>
          </cell>
          <cell r="G456">
            <v>2.5092195753450017E-3</v>
          </cell>
          <cell r="H456">
            <v>8.4763436888129137E-3</v>
          </cell>
          <cell r="I456">
            <v>0.29751459995318125</v>
          </cell>
        </row>
        <row r="457">
          <cell r="A457" t="str">
            <v>V2G</v>
          </cell>
          <cell r="B457" t="str">
            <v>VAR_fin</v>
          </cell>
          <cell r="C457" t="str">
            <v>T-ELC-car-BatSTGOut_S3</v>
          </cell>
          <cell r="G457">
            <v>2.7056637597449636E-3</v>
          </cell>
          <cell r="H457">
            <v>8.5572207835081394E-3</v>
          </cell>
          <cell r="I457">
            <v>0.42045777928831107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T-ELC-car-BatSTGOut_S4</v>
          </cell>
          <cell r="G458">
            <v>3.314906968994496E-3</v>
          </cell>
          <cell r="H458">
            <v>8.4728183660261382E-3</v>
          </cell>
          <cell r="I458">
            <v>0.30996319239295317</v>
          </cell>
        </row>
        <row r="459">
          <cell r="A459" t="str">
            <v>V2G</v>
          </cell>
          <cell r="B459" t="str">
            <v>VAR_fin</v>
          </cell>
          <cell r="C459" t="str">
            <v>T-ELC-car-PlgSTGOut_S1</v>
          </cell>
          <cell r="G459">
            <v>4.346238070275472E-4</v>
          </cell>
          <cell r="H459">
            <v>5.0842128120540575E-4</v>
          </cell>
          <cell r="I459">
            <v>4.7244336451680592E-4</v>
          </cell>
        </row>
        <row r="460">
          <cell r="A460" t="str">
            <v>V2G</v>
          </cell>
          <cell r="B460" t="str">
            <v>VAR_fin</v>
          </cell>
          <cell r="C460" t="str">
            <v>T-ELC-car-PlgSTGOut_S2</v>
          </cell>
          <cell r="G460">
            <v>5.9535563072976183E-5</v>
          </cell>
          <cell r="H460">
            <v>5.6259854798558473E-4</v>
          </cell>
          <cell r="I460">
            <v>4.8011642031403975E-4</v>
          </cell>
        </row>
        <row r="461">
          <cell r="A461" t="str">
            <v>V2G</v>
          </cell>
          <cell r="B461" t="str">
            <v>VAR_fin</v>
          </cell>
          <cell r="C461" t="str">
            <v>T-ELC-car-PlgSTGOut_S3</v>
          </cell>
          <cell r="G461">
            <v>4.4279611642971109E-3</v>
          </cell>
          <cell r="H461">
            <v>7.5018364408241944E-3</v>
          </cell>
          <cell r="I461">
            <v>0.42923413550452622</v>
          </cell>
        </row>
        <row r="462">
          <cell r="A462" t="str">
            <v>V2G</v>
          </cell>
          <cell r="B462" t="str">
            <v>VAR_fin</v>
          </cell>
          <cell r="C462" t="str">
            <v>T-ELC-TWSTGout_S1</v>
          </cell>
          <cell r="G462">
            <v>8.0564491465414268E-4</v>
          </cell>
          <cell r="H462">
            <v>1.4206830440191514E-3</v>
          </cell>
          <cell r="I462">
            <v>1.1924671725705069E-3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T-ELC-car-PlgSTGOut_S4</v>
          </cell>
          <cell r="G463">
            <v>4.6024804652514986E-5</v>
          </cell>
          <cell r="H463">
            <v>1.0719567368137016E-3</v>
          </cell>
          <cell r="I463">
            <v>1.4123127859398349E-3</v>
          </cell>
        </row>
        <row r="464">
          <cell r="A464" t="str">
            <v>V2G</v>
          </cell>
          <cell r="B464" t="str">
            <v>VAR_fin</v>
          </cell>
          <cell r="C464" t="str">
            <v>T-ELC-TWSTGout_S2</v>
          </cell>
          <cell r="G464">
            <v>1.2861695224045354E-3</v>
          </cell>
          <cell r="H464">
            <v>1.7215816180917464E-3</v>
          </cell>
          <cell r="I464">
            <v>1.3450202405791186E-3</v>
          </cell>
        </row>
        <row r="465">
          <cell r="A465" t="str">
            <v>V2G</v>
          </cell>
          <cell r="B465" t="str">
            <v>VAR_fin</v>
          </cell>
          <cell r="C465" t="str">
            <v>T-ELC-TWSTGout_S3</v>
          </cell>
          <cell r="G465">
            <v>1.643308831771109E-3</v>
          </cell>
          <cell r="H465">
            <v>3.1227938544820151E-3</v>
          </cell>
          <cell r="I465">
            <v>2.0280091547136216E-3</v>
          </cell>
        </row>
        <row r="466">
          <cell r="A466" t="str">
            <v>V2G</v>
          </cell>
          <cell r="B466" t="str">
            <v>VAR_fin</v>
          </cell>
          <cell r="C466" t="str">
            <v>T-ELC-TWSTGout_S4</v>
          </cell>
          <cell r="G466">
            <v>1.7527946139747088E-3</v>
          </cell>
          <cell r="H466">
            <v>3.4906647338634952E-3</v>
          </cell>
          <cell r="I466">
            <v>3.2038395267686881E-3</v>
          </cell>
        </row>
        <row r="467">
          <cell r="A467" t="str">
            <v>V2G</v>
          </cell>
          <cell r="B467" t="str">
            <v>VAR_fin</v>
          </cell>
          <cell r="C467" t="str">
            <v>T-ELC-Bus_u_BatSTGout_S1</v>
          </cell>
          <cell r="G467">
            <v>5.1565302427901737E-5</v>
          </cell>
          <cell r="H467">
            <v>7.2543777309662261E-5</v>
          </cell>
          <cell r="I467">
            <v>6.0943321780698416E-5</v>
          </cell>
        </row>
        <row r="468">
          <cell r="A468" t="str">
            <v>V2G</v>
          </cell>
          <cell r="B468" t="str">
            <v>VAR_fin</v>
          </cell>
          <cell r="C468" t="str">
            <v>T-ELC-Bus_u_BatSTGout_S2</v>
          </cell>
          <cell r="G468">
            <v>4.3453950845241714E-5</v>
          </cell>
          <cell r="H468">
            <v>6.4949699324324921E-5</v>
          </cell>
          <cell r="I468">
            <v>5.4095891796026819E-5</v>
          </cell>
        </row>
        <row r="469">
          <cell r="A469" t="str">
            <v>V2G</v>
          </cell>
          <cell r="B469" t="str">
            <v>VAR_fin</v>
          </cell>
          <cell r="C469" t="str">
            <v>T-ELC-Bus_u_BatSTGout_S3</v>
          </cell>
          <cell r="G469">
            <v>2.326523324660671E-5</v>
          </cell>
          <cell r="H469">
            <v>3.3916555205498924E-5</v>
          </cell>
          <cell r="I469">
            <v>2.9422003069669468E-5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T-ELC-Bus_u_BatSTGout_S4</v>
          </cell>
          <cell r="G470">
            <v>5.7657954412729404E-5</v>
          </cell>
          <cell r="H470">
            <v>8.5628336658134314E-5</v>
          </cell>
          <cell r="I470">
            <v>6.3775365597807472E-5</v>
          </cell>
        </row>
        <row r="471">
          <cell r="A471" t="str">
            <v>V2G</v>
          </cell>
          <cell r="B471" t="str">
            <v>VAR_fin</v>
          </cell>
          <cell r="C471" t="str">
            <v>T-ELC-LGV_BatSTGout</v>
          </cell>
          <cell r="G471">
            <v>2.7151741854497931E-4</v>
          </cell>
          <cell r="H471">
            <v>2.413509165568466E-4</v>
          </cell>
          <cell r="I471">
            <v>1.6311126790663277E-4</v>
          </cell>
        </row>
        <row r="472">
          <cell r="A472" t="str">
            <v>V2G</v>
          </cell>
          <cell r="B472" t="str">
            <v>VAR_fin</v>
          </cell>
          <cell r="C472" t="str">
            <v>T-ELC-HGV_BatSTGout</v>
          </cell>
          <cell r="G472">
            <v>2.6583042370579381E-4</v>
          </cell>
          <cell r="H472">
            <v>4.3714462140494095E-4</v>
          </cell>
          <cell r="I472">
            <v>2.2889945020350996E-4</v>
          </cell>
        </row>
        <row r="473">
          <cell r="A473" t="str">
            <v>V2G</v>
          </cell>
          <cell r="B473" t="str">
            <v>VAR_ncap</v>
          </cell>
          <cell r="C473" t="str">
            <v>-</v>
          </cell>
          <cell r="G473">
            <v>2.4106419582292501E-3</v>
          </cell>
          <cell r="H473">
            <v>6.7982501006136398E-2</v>
          </cell>
          <cell r="I473">
            <v>2.8124367364524101</v>
          </cell>
        </row>
        <row r="474">
          <cell r="A474" t="str">
            <v>V2G</v>
          </cell>
          <cell r="B474" t="str">
            <v>VAR_cap</v>
          </cell>
          <cell r="C474" t="str">
            <v>-</v>
          </cell>
          <cell r="G474">
            <v>2.4106419582292501E-3</v>
          </cell>
          <cell r="H474">
            <v>7.3165354082273121E-2</v>
          </cell>
          <cell r="I474">
            <v>2.8632695318370152</v>
          </cell>
        </row>
        <row r="475">
          <cell r="A475" t="str">
            <v>TPSHPELCEXT</v>
          </cell>
          <cell r="B475" t="str">
            <v>VAR_fout</v>
          </cell>
          <cell r="C475" t="str">
            <v>TPSHP</v>
          </cell>
          <cell r="E475">
            <v>4.1899654372257196</v>
          </cell>
          <cell r="F475">
            <v>4.1899704649358496</v>
          </cell>
          <cell r="G475">
            <v>4.1899558187415797</v>
          </cell>
          <cell r="H475">
            <v>1.41192244132704E-5</v>
          </cell>
          <cell r="I475">
            <v>4.2368900167133702E-5</v>
          </cell>
        </row>
        <row r="476">
          <cell r="A476" t="str">
            <v>TPSHPELCEXT</v>
          </cell>
          <cell r="B476" t="str">
            <v>VAR_fin</v>
          </cell>
          <cell r="C476" t="str">
            <v>TELC</v>
          </cell>
          <cell r="E476">
            <v>1.698135771915259</v>
          </cell>
          <cell r="F476">
            <v>1.6981378095775237</v>
          </cell>
          <cell r="G476">
            <v>1.69813187367499</v>
          </cell>
          <cell r="H476">
            <v>5.7223288370963455E-6</v>
          </cell>
          <cell r="I476">
            <v>1.7171536631613585E-5</v>
          </cell>
        </row>
        <row r="477">
          <cell r="A477" t="str">
            <v>TPSHPELCEXT</v>
          </cell>
          <cell r="B477" t="str">
            <v>VAR_ncap</v>
          </cell>
          <cell r="C477" t="str">
            <v>-</v>
          </cell>
          <cell r="D477">
            <v>1.1219089740686799E-5</v>
          </cell>
          <cell r="E477">
            <v>4.1899497675819903</v>
          </cell>
          <cell r="F477">
            <v>8.5149373364816004E-7</v>
          </cell>
          <cell r="G477">
            <v>5.9806946430771502E-7</v>
          </cell>
          <cell r="H477">
            <v>1.95569085793894E-7</v>
          </cell>
          <cell r="I477">
            <v>1.0422171084714501E-7</v>
          </cell>
        </row>
        <row r="478">
          <cell r="A478" t="str">
            <v>TPSHPELCEXT</v>
          </cell>
          <cell r="B478" t="str">
            <v>VAR_cap</v>
          </cell>
          <cell r="C478" t="str">
            <v>-</v>
          </cell>
          <cell r="D478">
            <v>1.1219089740686799E-5</v>
          </cell>
          <cell r="E478">
            <v>4.1899609866717302</v>
          </cell>
          <cell r="F478">
            <v>4.189958943131006</v>
          </cell>
          <cell r="G478">
            <v>4.1899455067571978</v>
          </cell>
          <cell r="H478">
            <v>-3.1563249791588532E-8</v>
          </cell>
          <cell r="I478">
            <v>6.4715008795189035E-8</v>
          </cell>
        </row>
        <row r="479">
          <cell r="A479" t="str">
            <v>TFLGV-ICEGSL</v>
          </cell>
          <cell r="B479" t="str">
            <v>VAR_fout</v>
          </cell>
          <cell r="C479" t="str">
            <v>CO2_T</v>
          </cell>
          <cell r="D479">
            <v>26.449630580589101</v>
          </cell>
          <cell r="E479">
            <v>42.585773712993081</v>
          </cell>
          <cell r="F479">
            <v>68.591596203681888</v>
          </cell>
          <cell r="G479">
            <v>100.5931915713584</v>
          </cell>
          <cell r="H479">
            <v>108.35785666238669</v>
          </cell>
          <cell r="I479">
            <v>131.70708439266349</v>
          </cell>
        </row>
        <row r="480">
          <cell r="A480" t="str">
            <v>TFLGV-ICEGSL</v>
          </cell>
          <cell r="B480" t="str">
            <v>VAR_fout</v>
          </cell>
          <cell r="C480" t="str">
            <v>TFLGV</v>
          </cell>
          <cell r="D480">
            <v>0.12587931558937163</v>
          </cell>
          <cell r="E480">
            <v>0.20267459057706128</v>
          </cell>
          <cell r="F480">
            <v>0.32644173078313438</v>
          </cell>
          <cell r="G480">
            <v>0.4787440062488435</v>
          </cell>
          <cell r="H480">
            <v>0.5156976689648981</v>
          </cell>
          <cell r="I480">
            <v>0.62682151991140811</v>
          </cell>
        </row>
        <row r="481">
          <cell r="A481" t="str">
            <v>TFLGV-ICEGSL</v>
          </cell>
          <cell r="B481" t="str">
            <v>VAR_fin</v>
          </cell>
          <cell r="C481" t="str">
            <v>TGSL</v>
          </cell>
          <cell r="D481">
            <v>0.35839607832776532</v>
          </cell>
          <cell r="E481">
            <v>0.57704300424109711</v>
          </cell>
          <cell r="F481">
            <v>0.92942542281411744</v>
          </cell>
          <cell r="G481">
            <v>1.36305137630567</v>
          </cell>
          <cell r="H481">
            <v>1.4682636404117422</v>
          </cell>
          <cell r="I481">
            <v>1.7846488400089933</v>
          </cell>
        </row>
        <row r="482">
          <cell r="A482" t="str">
            <v>TFLGV-ICEGSL</v>
          </cell>
          <cell r="B482" t="str">
            <v>VAR_ncap</v>
          </cell>
          <cell r="C482" t="str">
            <v>-</v>
          </cell>
          <cell r="E482">
            <v>7.3742854676831496E-6</v>
          </cell>
          <cell r="F482">
            <v>1.2379312521614901E-2</v>
          </cell>
          <cell r="G482">
            <v>2.7479788459645101E-2</v>
          </cell>
          <cell r="H482">
            <v>1.1032936407252E-2</v>
          </cell>
          <cell r="I482">
            <v>5.03518578612977E-2</v>
          </cell>
        </row>
        <row r="483">
          <cell r="A483" t="str">
            <v>TFLGV-ICEGSL</v>
          </cell>
          <cell r="B483" t="str">
            <v>VAR_cap</v>
          </cell>
          <cell r="C483" t="str">
            <v>-</v>
          </cell>
          <cell r="D483">
            <v>1.243492876814396E-2</v>
          </cell>
          <cell r="E483">
            <v>1.4129374285467683E-2</v>
          </cell>
          <cell r="F483">
            <v>2.6508686807082599E-2</v>
          </cell>
          <cell r="G483">
            <v>4.7565185451249992E-2</v>
          </cell>
          <cell r="H483">
            <v>5.1276061710742608E-2</v>
          </cell>
          <cell r="I483">
            <v>6.2092992524829457E-2</v>
          </cell>
        </row>
        <row r="484">
          <cell r="A484" t="str">
            <v>T_C-ICE-GSL-S2</v>
          </cell>
          <cell r="B484" t="str">
            <v>VAR_fout</v>
          </cell>
          <cell r="C484" t="str">
            <v>CO2_T</v>
          </cell>
          <cell r="D484">
            <v>272.60414055728768</v>
          </cell>
          <cell r="E484">
            <v>391.63260724901625</v>
          </cell>
          <cell r="F484">
            <v>387.01942146642011</v>
          </cell>
          <cell r="G484">
            <v>303.5383526535029</v>
          </cell>
          <cell r="H484">
            <v>0.1945741979271457</v>
          </cell>
          <cell r="I484">
            <v>3.644767536374853E-2</v>
          </cell>
        </row>
        <row r="485">
          <cell r="A485" t="str">
            <v>T_C-ICE-GSL-S2</v>
          </cell>
          <cell r="B485" t="str">
            <v>VAR_fout</v>
          </cell>
          <cell r="C485" t="str">
            <v>TPCAR</v>
          </cell>
          <cell r="D485">
            <v>2.2369952342336652</v>
          </cell>
          <cell r="E485">
            <v>3.2076642747647202</v>
          </cell>
          <cell r="F485">
            <v>3.1699287993681038</v>
          </cell>
          <cell r="G485">
            <v>2.5058090843259246</v>
          </cell>
          <cell r="H485">
            <v>1.3538106161478057E-3</v>
          </cell>
          <cell r="I485">
            <v>2.6953287809866752E-4</v>
          </cell>
        </row>
        <row r="486">
          <cell r="A486" t="str">
            <v>T_C-ICE-GSL-S2</v>
          </cell>
          <cell r="B486" t="str">
            <v>VAR_fin</v>
          </cell>
          <cell r="C486" t="str">
            <v>TGSL</v>
          </cell>
          <cell r="D486">
            <v>3.6938230427816681</v>
          </cell>
          <cell r="E486">
            <v>5.3066748949731073</v>
          </cell>
          <cell r="F486">
            <v>5.2441656025260235</v>
          </cell>
          <cell r="G486">
            <v>4.1129858083130495</v>
          </cell>
          <cell r="H486">
            <v>2.6365067469802917E-3</v>
          </cell>
          <cell r="I486">
            <v>4.9387093988819124E-4</v>
          </cell>
        </row>
        <row r="487">
          <cell r="A487" t="str">
            <v>T_C-ICE-GSL-S2</v>
          </cell>
          <cell r="B487" t="str">
            <v>VAR_ncap</v>
          </cell>
          <cell r="C487" t="str">
            <v>-</v>
          </cell>
          <cell r="E487">
            <v>4.2022202833729496E-6</v>
          </cell>
          <cell r="F487">
            <v>5.0296019369562702E-4</v>
          </cell>
          <cell r="G487">
            <v>8.7045899317402304E-5</v>
          </cell>
          <cell r="H487">
            <v>1.9650101795425899E-5</v>
          </cell>
          <cell r="I487">
            <v>7.0433430555415302E-6</v>
          </cell>
        </row>
        <row r="488">
          <cell r="A488" t="str">
            <v>T_C-ICE-GSL-S2</v>
          </cell>
          <cell r="B488" t="str">
            <v>VAR_cap</v>
          </cell>
          <cell r="C488" t="str">
            <v>-</v>
          </cell>
          <cell r="D488">
            <v>0.21743034832656752</v>
          </cell>
          <cell r="E488">
            <v>0.2433751187058921</v>
          </cell>
          <cell r="F488">
            <v>0.24052807620071828</v>
          </cell>
          <cell r="G488">
            <v>0.19013614703984286</v>
          </cell>
          <cell r="H488">
            <v>1.2966160000715078E-4</v>
          </cell>
          <cell r="I488">
            <v>2.6346088292675402E-5</v>
          </cell>
        </row>
        <row r="489">
          <cell r="A489" t="str">
            <v>T_C-ICE-DSL-S1</v>
          </cell>
          <cell r="B489" t="str">
            <v>VAR_fout</v>
          </cell>
          <cell r="C489" t="str">
            <v>CO2_T</v>
          </cell>
          <cell r="D489">
            <v>0.3867823938582276</v>
          </cell>
          <cell r="E489">
            <v>0.42998112314793374</v>
          </cell>
          <cell r="F489">
            <v>0.32842825950346533</v>
          </cell>
          <cell r="G489">
            <v>0.24020093856664859</v>
          </cell>
          <cell r="H489">
            <v>2.5176624701958059E-2</v>
          </cell>
          <cell r="I489">
            <v>8.7646765400008486E-3</v>
          </cell>
        </row>
        <row r="490">
          <cell r="A490" t="str">
            <v>T_C-ICE-DSL-S1</v>
          </cell>
          <cell r="B490" t="str">
            <v>VAR_fout</v>
          </cell>
          <cell r="C490" t="str">
            <v>TPCAR</v>
          </cell>
          <cell r="D490">
            <v>3.9573274024390015E-3</v>
          </cell>
          <cell r="E490">
            <v>4.4882424531669032E-3</v>
          </cell>
          <cell r="F490">
            <v>3.4466492549879379E-3</v>
          </cell>
          <cell r="G490">
            <v>2.5739084763175542E-3</v>
          </cell>
          <cell r="H490">
            <v>2.2949168747903482E-4</v>
          </cell>
          <cell r="I490">
            <v>8.3614166157691897E-5</v>
          </cell>
        </row>
        <row r="491">
          <cell r="A491" t="str">
            <v>T_C-ICE-DSL-S1</v>
          </cell>
          <cell r="B491" t="str">
            <v>VAR_fin</v>
          </cell>
          <cell r="C491" t="str">
            <v>TDSL</v>
          </cell>
          <cell r="D491">
            <v>5.2767038725542535E-3</v>
          </cell>
          <cell r="E491">
            <v>5.8660453362610445E-3</v>
          </cell>
          <cell r="F491">
            <v>4.4806038131441324E-3</v>
          </cell>
          <cell r="G491">
            <v>3.2769568699406362E-3</v>
          </cell>
          <cell r="H491">
            <v>3.4347373399669975E-4</v>
          </cell>
          <cell r="I491">
            <v>1.1957266766713288E-4</v>
          </cell>
        </row>
        <row r="492">
          <cell r="A492" t="str">
            <v>T_C-ICE-DSL-S1</v>
          </cell>
          <cell r="B492" t="str">
            <v>VAR_ncap</v>
          </cell>
          <cell r="C492" t="str">
            <v>-</v>
          </cell>
          <cell r="E492">
            <v>6.9619158816809701E-6</v>
          </cell>
          <cell r="F492">
            <v>4.0046394039437102E-5</v>
          </cell>
          <cell r="G492">
            <v>1.7115014609692001E-5</v>
          </cell>
          <cell r="H492">
            <v>9.8546866415779492E-6</v>
          </cell>
          <cell r="I492">
            <v>3.6642302169138799E-6</v>
          </cell>
        </row>
        <row r="493">
          <cell r="A493" t="str">
            <v>T_C-ICE-DSL-S1</v>
          </cell>
          <cell r="B493" t="str">
            <v>VAR_cap</v>
          </cell>
          <cell r="C493" t="str">
            <v>-</v>
          </cell>
          <cell r="D493">
            <v>4.4450875475569087E-4</v>
          </cell>
          <cell r="E493">
            <v>4.7936583065153414E-4</v>
          </cell>
          <cell r="F493">
            <v>5.1565960801610254E-4</v>
          </cell>
          <cell r="G493">
            <v>3.8749635384258612E-4</v>
          </cell>
          <cell r="H493">
            <v>3.2957089370900874E-5</v>
          </cell>
          <cell r="I493">
            <v>1.2094400771267236E-5</v>
          </cell>
        </row>
        <row r="494">
          <cell r="A494" t="str">
            <v>T_C-ICE-GSL-S3</v>
          </cell>
          <cell r="B494" t="str">
            <v>VAR_fout</v>
          </cell>
          <cell r="C494" t="str">
            <v>CO2_T</v>
          </cell>
          <cell r="D494">
            <v>267.04047267625197</v>
          </cell>
          <cell r="E494">
            <v>423.60746930398318</v>
          </cell>
          <cell r="F494">
            <v>520.70857554849522</v>
          </cell>
          <cell r="G494">
            <v>427.27785486369777</v>
          </cell>
          <cell r="H494">
            <v>9.0310644472293067</v>
          </cell>
          <cell r="I494">
            <v>7.0581779311559401E-2</v>
          </cell>
        </row>
        <row r="495">
          <cell r="A495" t="str">
            <v>T_C-ICE-GSL-S3</v>
          </cell>
          <cell r="B495" t="str">
            <v>VAR_fout</v>
          </cell>
          <cell r="C495" t="str">
            <v>TPCAR</v>
          </cell>
          <cell r="D495">
            <v>1.8646163746815136</v>
          </cell>
          <cell r="E495">
            <v>2.9619668747114267</v>
          </cell>
          <cell r="F495">
            <v>3.5935762740472006</v>
          </cell>
          <cell r="G495">
            <v>2.9652266602377439</v>
          </cell>
          <cell r="H495">
            <v>5.8938982842293021E-2</v>
          </cell>
          <cell r="I495">
            <v>4.9068436798957676E-4</v>
          </cell>
        </row>
        <row r="496">
          <cell r="A496" t="str">
            <v>T_C-ICE-GSL-S3</v>
          </cell>
          <cell r="B496" t="str">
            <v>VAR_fin</v>
          </cell>
          <cell r="C496" t="str">
            <v>TGSL</v>
          </cell>
          <cell r="D496">
            <v>3.6184345891091136</v>
          </cell>
          <cell r="E496">
            <v>5.739938608455077</v>
          </cell>
          <cell r="F496">
            <v>7.0556717553996515</v>
          </cell>
          <cell r="G496">
            <v>5.7896728301313996</v>
          </cell>
          <cell r="H496">
            <v>0.12237214698142709</v>
          </cell>
          <cell r="I496">
            <v>9.5639267359836494E-4</v>
          </cell>
        </row>
        <row r="497">
          <cell r="A497" t="str">
            <v>T_C-ICE-GSL-S3</v>
          </cell>
          <cell r="B497" t="str">
            <v>VAR_ncap</v>
          </cell>
          <cell r="C497" t="str">
            <v>-</v>
          </cell>
          <cell r="E497">
            <v>3.6831853927267201E-6</v>
          </cell>
          <cell r="F497">
            <v>4.7206158267699E-2</v>
          </cell>
          <cell r="G497">
            <v>1.2664162443956601E-4</v>
          </cell>
          <cell r="H497">
            <v>2.4668986342613601E-5</v>
          </cell>
          <cell r="I497">
            <v>1.29374881689661E-5</v>
          </cell>
        </row>
        <row r="498">
          <cell r="A498" t="str">
            <v>T_C-ICE-GSL-S3</v>
          </cell>
          <cell r="B498" t="str">
            <v>VAR_cap</v>
          </cell>
          <cell r="C498" t="str">
            <v>-</v>
          </cell>
          <cell r="D498">
            <v>0.18201184964791639</v>
          </cell>
          <cell r="E498">
            <v>0.20365687976770597</v>
          </cell>
          <cell r="F498">
            <v>0.24710065334536838</v>
          </cell>
          <cell r="G498">
            <v>0.2038884062242094</v>
          </cell>
          <cell r="H498">
            <v>4.0599594856304318E-3</v>
          </cell>
          <cell r="I498">
            <v>3.7319964677452401E-5</v>
          </cell>
        </row>
        <row r="499">
          <cell r="A499" t="str">
            <v>T_C-ICE-DSL-S2</v>
          </cell>
          <cell r="B499" t="str">
            <v>VAR_fout</v>
          </cell>
          <cell r="C499" t="str">
            <v>CO2_T</v>
          </cell>
          <cell r="D499">
            <v>89.570900658112137</v>
          </cell>
          <cell r="E499">
            <v>94.047861562069471</v>
          </cell>
          <cell r="F499">
            <v>81.480201908930766</v>
          </cell>
          <cell r="G499">
            <v>67.808003592599519</v>
          </cell>
          <cell r="H499">
            <v>4.7666963153071035E-2</v>
          </cell>
          <cell r="I499">
            <v>1.6718803518566579E-2</v>
          </cell>
        </row>
        <row r="500">
          <cell r="A500" t="str">
            <v>T_C-ICE-DSL-S2</v>
          </cell>
          <cell r="B500" t="str">
            <v>VAR_fout</v>
          </cell>
          <cell r="C500" t="str">
            <v>TPCAR</v>
          </cell>
          <cell r="D500">
            <v>0.85092926893762977</v>
          </cell>
          <cell r="E500">
            <v>0.90293619725647289</v>
          </cell>
          <cell r="F500">
            <v>0.81695008618603537</v>
          </cell>
          <cell r="G500">
            <v>0.67877440198569594</v>
          </cell>
          <cell r="H500">
            <v>3.470389544451499E-4</v>
          </cell>
          <cell r="I500">
            <v>1.2862592153449988E-4</v>
          </cell>
        </row>
        <row r="501">
          <cell r="A501" t="str">
            <v>T_C-ICE-DSL-S2</v>
          </cell>
          <cell r="B501" t="str">
            <v>VAR_fin</v>
          </cell>
          <cell r="C501" t="str">
            <v>TDSL</v>
          </cell>
          <cell r="D501">
            <v>1.2219768166181764</v>
          </cell>
          <cell r="E501">
            <v>1.2830540458672495</v>
          </cell>
          <cell r="F501">
            <v>1.1115989346375268</v>
          </cell>
          <cell r="G501">
            <v>0.92507508311868591</v>
          </cell>
          <cell r="H501">
            <v>6.5029963373903251E-4</v>
          </cell>
          <cell r="I501">
            <v>2.2808736041700665E-4</v>
          </cell>
        </row>
        <row r="502">
          <cell r="A502" t="str">
            <v>T_C-ICE-DSL-S2</v>
          </cell>
          <cell r="B502" t="str">
            <v>VAR_ncap</v>
          </cell>
          <cell r="C502" t="str">
            <v>-</v>
          </cell>
          <cell r="E502">
            <v>5.0057454443100703E-6</v>
          </cell>
          <cell r="F502">
            <v>2.75754551514292E-5</v>
          </cell>
          <cell r="G502">
            <v>1.74097189052416E-5</v>
          </cell>
          <cell r="H502">
            <v>9.1960230202672107E-6</v>
          </cell>
          <cell r="I502">
            <v>4.0920208401879297E-6</v>
          </cell>
        </row>
        <row r="503">
          <cell r="A503" t="str">
            <v>T_C-ICE-DSL-S2</v>
          </cell>
          <cell r="B503" t="str">
            <v>VAR_cap</v>
          </cell>
          <cell r="C503" t="str">
            <v>-</v>
          </cell>
          <cell r="D503">
            <v>6.4568231011572372E-2</v>
          </cell>
          <cell r="E503">
            <v>6.8508325547172261E-2</v>
          </cell>
          <cell r="F503">
            <v>6.791532612156774E-2</v>
          </cell>
          <cell r="G503">
            <v>5.1505115144002044E-2</v>
          </cell>
          <cell r="H503">
            <v>3.1168914794830419E-5</v>
          </cell>
          <cell r="I503">
            <v>1.20627757857915E-5</v>
          </cell>
        </row>
        <row r="504">
          <cell r="A504" t="str">
            <v>TPRLPH2OFCL</v>
          </cell>
          <cell r="B504" t="str">
            <v>VAR_fout</v>
          </cell>
          <cell r="C504" t="str">
            <v>TPRLP</v>
          </cell>
          <cell r="G504">
            <v>1.006546061820337E-7</v>
          </cell>
          <cell r="H504">
            <v>1.1455638641248021E-7</v>
          </cell>
          <cell r="I504">
            <v>1.1993590113288158E-7</v>
          </cell>
        </row>
        <row r="505">
          <cell r="A505" t="str">
            <v>TPRLPH2OFCL</v>
          </cell>
          <cell r="B505" t="str">
            <v>VAR_fin</v>
          </cell>
          <cell r="C505" t="str">
            <v>TH2O</v>
          </cell>
          <cell r="G505">
            <v>6.076822542479351E-6</v>
          </cell>
          <cell r="H505">
            <v>6.3848583379847745E-6</v>
          </cell>
          <cell r="I505">
            <v>6.2078375142014969E-6</v>
          </cell>
        </row>
        <row r="506">
          <cell r="A506" t="str">
            <v>TPRLPH2OFCL</v>
          </cell>
          <cell r="B506" t="str">
            <v>VAR_ncap</v>
          </cell>
          <cell r="C506" t="str">
            <v>-</v>
          </cell>
          <cell r="G506">
            <v>1.5524566865391601E-8</v>
          </cell>
        </row>
        <row r="507">
          <cell r="A507" t="str">
            <v>TPRLPH2OFCL</v>
          </cell>
          <cell r="B507" t="str">
            <v>VAR_cap</v>
          </cell>
          <cell r="C507" t="str">
            <v>-</v>
          </cell>
          <cell r="G507">
            <v>1.5524566865391601E-8</v>
          </cell>
          <cell r="H507">
            <v>1.5524566865391601E-8</v>
          </cell>
          <cell r="I507">
            <v>1.5524566865391601E-8</v>
          </cell>
        </row>
        <row r="508">
          <cell r="A508" t="str">
            <v>T_C-ICE-GSL-S4</v>
          </cell>
          <cell r="B508" t="str">
            <v>VAR_fout</v>
          </cell>
          <cell r="C508" t="str">
            <v>CO2_T</v>
          </cell>
          <cell r="D508">
            <v>278.5236130817849</v>
          </cell>
          <cell r="E508">
            <v>387.49621050145629</v>
          </cell>
          <cell r="F508">
            <v>977.62135178068661</v>
          </cell>
          <cell r="G508">
            <v>2159.4030897951352</v>
          </cell>
          <cell r="H508">
            <v>2456.3971317475725</v>
          </cell>
          <cell r="I508">
            <v>1669.8475292812359</v>
          </cell>
        </row>
        <row r="509">
          <cell r="A509" t="str">
            <v>T_C-ICE-GSL-S4</v>
          </cell>
          <cell r="B509" t="str">
            <v>VAR_fout</v>
          </cell>
          <cell r="C509" t="str">
            <v>TPCAR</v>
          </cell>
          <cell r="D509">
            <v>1.6601133273673221</v>
          </cell>
          <cell r="E509">
            <v>2.27540723567492</v>
          </cell>
          <cell r="F509">
            <v>5.7499278741641069</v>
          </cell>
          <cell r="G509">
            <v>12.774052196093809</v>
          </cell>
          <cell r="H509">
            <v>15.822734284389043</v>
          </cell>
          <cell r="I509">
            <v>12.595929839273571</v>
          </cell>
        </row>
        <row r="510">
          <cell r="A510" t="str">
            <v>T_C-ICE-GSL-S4</v>
          </cell>
          <cell r="B510" t="str">
            <v>VAR_fin</v>
          </cell>
          <cell r="C510" t="str">
            <v>TGSL</v>
          </cell>
          <cell r="D510">
            <v>3.7740326975851661</v>
          </cell>
          <cell r="E510">
            <v>5.2506261585563285</v>
          </cell>
          <cell r="F510">
            <v>13.246901785646152</v>
          </cell>
          <cell r="G510">
            <v>29.260204468768805</v>
          </cell>
          <cell r="H510">
            <v>33.284513980319446</v>
          </cell>
          <cell r="I510">
            <v>22.626660288363574</v>
          </cell>
        </row>
        <row r="511">
          <cell r="A511" t="str">
            <v>T_C-ICE-GSL-S4</v>
          </cell>
          <cell r="B511" t="str">
            <v>VAR_ncap</v>
          </cell>
          <cell r="C511" t="str">
            <v>-</v>
          </cell>
          <cell r="E511">
            <v>3.71026484730884E-6</v>
          </cell>
          <cell r="F511">
            <v>0.28026355430167299</v>
          </cell>
          <cell r="G511">
            <v>0.65505199545922199</v>
          </cell>
          <cell r="H511">
            <v>0.58076472513014299</v>
          </cell>
          <cell r="I511">
            <v>1.1128367681086799</v>
          </cell>
        </row>
        <row r="512">
          <cell r="A512" t="str">
            <v>T_C-ICE-GSL-S4</v>
          </cell>
          <cell r="B512" t="str">
            <v>VAR_cap</v>
          </cell>
          <cell r="C512" t="str">
            <v>-</v>
          </cell>
          <cell r="D512">
            <v>0.15697603643700642</v>
          </cell>
          <cell r="E512">
            <v>0.17916763731521659</v>
          </cell>
          <cell r="F512">
            <v>0.45279927243271922</v>
          </cell>
          <cell r="G512">
            <v>1.0058662029703636</v>
          </cell>
          <cell r="H512">
            <v>1.4083810735177431</v>
          </cell>
          <cell r="I512">
            <v>1.41250489302403</v>
          </cell>
        </row>
        <row r="513">
          <cell r="A513" t="str">
            <v>T_C-ICE-DSL-S3</v>
          </cell>
          <cell r="B513" t="str">
            <v>VAR_fout</v>
          </cell>
          <cell r="C513" t="str">
            <v>CO2_T</v>
          </cell>
          <cell r="D513">
            <v>369.82381293121222</v>
          </cell>
          <cell r="E513">
            <v>390.45095878075568</v>
          </cell>
          <cell r="F513">
            <v>386.72051233919751</v>
          </cell>
          <cell r="G513">
            <v>295.36255902001483</v>
          </cell>
          <cell r="H513">
            <v>5.7451890058727077E-2</v>
          </cell>
          <cell r="I513">
            <v>2.3084631647855031E-2</v>
          </cell>
        </row>
        <row r="514">
          <cell r="A514" t="str">
            <v>T_C-ICE-DSL-S3</v>
          </cell>
          <cell r="B514" t="str">
            <v>VAR_fout</v>
          </cell>
          <cell r="C514" t="str">
            <v>TPCAR</v>
          </cell>
          <cell r="D514">
            <v>2.6631025483557336</v>
          </cell>
          <cell r="E514">
            <v>2.8360562886229728</v>
          </cell>
          <cell r="F514">
            <v>2.8065073269972345</v>
          </cell>
          <cell r="G514">
            <v>2.1808118413393274</v>
          </cell>
          <cell r="H514">
            <v>3.8482573553314767E-4</v>
          </cell>
          <cell r="I514">
            <v>1.6665510154215566E-4</v>
          </cell>
        </row>
        <row r="515">
          <cell r="A515" t="str">
            <v>T_C-ICE-DSL-S3</v>
          </cell>
          <cell r="B515" t="str">
            <v>VAR_fin</v>
          </cell>
          <cell r="C515" t="str">
            <v>TDSL</v>
          </cell>
          <cell r="D515">
            <v>5.0453453333044083</v>
          </cell>
          <cell r="E515">
            <v>5.326752507240851</v>
          </cell>
          <cell r="F515">
            <v>5.2758596499208377</v>
          </cell>
          <cell r="G515">
            <v>4.0295028515690952</v>
          </cell>
          <cell r="H515">
            <v>7.8379113313406621E-4</v>
          </cell>
          <cell r="I515">
            <v>3.1493358319038242E-4</v>
          </cell>
        </row>
        <row r="516">
          <cell r="A516" t="str">
            <v>T_C-ICE-DSL-S3</v>
          </cell>
          <cell r="B516" t="str">
            <v>VAR_ncap</v>
          </cell>
          <cell r="C516" t="str">
            <v>-</v>
          </cell>
          <cell r="E516">
            <v>3.6225105305510499E-6</v>
          </cell>
          <cell r="F516">
            <v>1.9074556601430199E-5</v>
          </cell>
          <cell r="G516">
            <v>1.4760800925299801E-5</v>
          </cell>
          <cell r="H516">
            <v>9.2173422501117893E-6</v>
          </cell>
          <cell r="I516">
            <v>5.2423258199423999E-6</v>
          </cell>
        </row>
        <row r="517">
          <cell r="A517" t="str">
            <v>T_C-ICE-DSL-S3</v>
          </cell>
          <cell r="B517" t="str">
            <v>VAR_cap</v>
          </cell>
          <cell r="C517" t="str">
            <v>-</v>
          </cell>
          <cell r="D517">
            <v>0.18324100868212467</v>
          </cell>
          <cell r="E517">
            <v>0.19499947682111832</v>
          </cell>
          <cell r="F517">
            <v>0.19298471169377884</v>
          </cell>
          <cell r="G517">
            <v>0.14995296100140215</v>
          </cell>
          <cell r="H517">
            <v>2.8905031003156011E-5</v>
          </cell>
          <cell r="I517">
            <v>1.2891085730371801E-5</v>
          </cell>
        </row>
        <row r="518">
          <cell r="A518" t="str">
            <v>T_C-ICE-DSL-S4</v>
          </cell>
          <cell r="B518" t="str">
            <v>VAR_fout</v>
          </cell>
          <cell r="C518" t="str">
            <v>CO2_T</v>
          </cell>
          <cell r="D518">
            <v>142.17460929109811</v>
          </cell>
          <cell r="E518">
            <v>162.05321691145116</v>
          </cell>
          <cell r="F518">
            <v>159.28116739531052</v>
          </cell>
          <cell r="G518">
            <v>122.68598006511168</v>
          </cell>
          <cell r="H518">
            <v>3.1919421131400789E-2</v>
          </cell>
          <cell r="I518">
            <v>1.4811236251319679E-2</v>
          </cell>
        </row>
        <row r="519">
          <cell r="A519" t="str">
            <v>T_C-ICE-DSL-S4</v>
          </cell>
          <cell r="B519" t="str">
            <v>VAR_fout</v>
          </cell>
          <cell r="C519" t="str">
            <v>TPCAR</v>
          </cell>
          <cell r="D519">
            <v>0.90389799678140204</v>
          </cell>
          <cell r="E519">
            <v>1.0075821819974056</v>
          </cell>
          <cell r="F519">
            <v>0.99256665882323347</v>
          </cell>
          <cell r="G519">
            <v>0.77527599039735884</v>
          </cell>
          <cell r="H519">
            <v>2.0077565980354675E-4</v>
          </cell>
          <cell r="I519">
            <v>1.0138420033311971E-4</v>
          </cell>
        </row>
        <row r="520">
          <cell r="A520" t="str">
            <v>T_C-ICE-DSL-S4</v>
          </cell>
          <cell r="B520" t="str">
            <v>VAR_fin</v>
          </cell>
          <cell r="C520" t="str">
            <v>TDSL</v>
          </cell>
          <cell r="D520">
            <v>1.9396263204788278</v>
          </cell>
          <cell r="E520">
            <v>2.2108215131166622</v>
          </cell>
          <cell r="F520">
            <v>2.1730036479578514</v>
          </cell>
          <cell r="G520">
            <v>1.6737514333575956</v>
          </cell>
          <cell r="H520">
            <v>4.3546277123329762E-4</v>
          </cell>
          <cell r="I520">
            <v>2.0206325035906811E-4</v>
          </cell>
        </row>
        <row r="521">
          <cell r="A521" t="str">
            <v>T_C-ICE-DSL-S4</v>
          </cell>
          <cell r="B521" t="str">
            <v>VAR_ncap</v>
          </cell>
          <cell r="C521" t="str">
            <v>-</v>
          </cell>
          <cell r="E521">
            <v>2.0075549570175802E-6</v>
          </cell>
          <cell r="F521">
            <v>8.5697028083482605E-6</v>
          </cell>
          <cell r="G521">
            <v>7.6813926860526895E-6</v>
          </cell>
          <cell r="H521">
            <v>6.7283307413798596E-6</v>
          </cell>
          <cell r="I521">
            <v>4.1998478947273797E-6</v>
          </cell>
        </row>
        <row r="522">
          <cell r="A522" t="str">
            <v>T_C-ICE-DSL-S4</v>
          </cell>
          <cell r="B522" t="str">
            <v>VAR_cap</v>
          </cell>
          <cell r="C522" t="str">
            <v>-</v>
          </cell>
          <cell r="D522">
            <v>7.1261796290192192E-2</v>
          </cell>
          <cell r="E522">
            <v>7.9338675619825258E-2</v>
          </cell>
          <cell r="F522">
            <v>7.8211603839825936E-2</v>
          </cell>
          <cell r="G522">
            <v>6.106614777262518E-2</v>
          </cell>
          <cell r="H522">
            <v>1.8200856526382272E-5</v>
          </cell>
          <cell r="I522">
            <v>9.35724505837846E-6</v>
          </cell>
        </row>
        <row r="523">
          <cell r="A523" t="str">
            <v>TFLGV-ICENGAExt</v>
          </cell>
          <cell r="B523" t="str">
            <v>VAR_fout</v>
          </cell>
          <cell r="C523" t="str">
            <v>CO2_T</v>
          </cell>
          <cell r="D523">
            <v>6.0630779570173798</v>
          </cell>
          <cell r="E523">
            <v>1.82796909275505</v>
          </cell>
          <cell r="F523">
            <v>3.9537615946460098</v>
          </cell>
          <cell r="G523">
            <v>1.7877905993149499E-3</v>
          </cell>
        </row>
        <row r="524">
          <cell r="A524" t="str">
            <v>TFLGV-ICENGAExt</v>
          </cell>
          <cell r="B524" t="str">
            <v>VAR_fout</v>
          </cell>
          <cell r="C524" t="str">
            <v>TFLGV</v>
          </cell>
          <cell r="D524">
            <v>2.984058371489718E-2</v>
          </cell>
          <cell r="E524">
            <v>9.0805447370485952E-3</v>
          </cell>
          <cell r="F524">
            <v>1.9912585187587095E-2</v>
          </cell>
          <cell r="G524">
            <v>9.0039654021207091E-6</v>
          </cell>
        </row>
        <row r="525">
          <cell r="A525" t="str">
            <v>TFLGV-ICENGAExt</v>
          </cell>
          <cell r="B525" t="str">
            <v>VAR_fin</v>
          </cell>
          <cell r="C525" t="str">
            <v>TNGA</v>
          </cell>
          <cell r="D525">
            <v>0.10750138221662013</v>
          </cell>
          <cell r="E525">
            <v>3.2410799516933431E-2</v>
          </cell>
          <cell r="F525">
            <v>7.0102155933439936E-2</v>
          </cell>
          <cell r="G525">
            <v>3.1698414881470731E-5</v>
          </cell>
        </row>
        <row r="526">
          <cell r="A526" t="str">
            <v>TFLGV-ICENGAExt</v>
          </cell>
          <cell r="B526" t="str">
            <v>VAR_cap</v>
          </cell>
          <cell r="C526" t="str">
            <v>-</v>
          </cell>
          <cell r="D526">
            <v>2.085E-3</v>
          </cell>
          <cell r="E526">
            <v>1.807E-3</v>
          </cell>
          <cell r="F526">
            <v>1.39E-3</v>
          </cell>
          <cell r="G526">
            <v>6.2317907699492928E-7</v>
          </cell>
        </row>
        <row r="527">
          <cell r="A527" t="str">
            <v>D-TGSL</v>
          </cell>
          <cell r="B527" t="str">
            <v>VAR_fout</v>
          </cell>
          <cell r="C527" t="str">
            <v>CO2</v>
          </cell>
          <cell r="D527">
            <v>5867.5668658576697</v>
          </cell>
          <cell r="E527">
            <v>5899.1156624618898</v>
          </cell>
          <cell r="F527">
            <v>5335.5364440124104</v>
          </cell>
          <cell r="G527">
            <v>4358.9113485912203</v>
          </cell>
          <cell r="H527">
            <v>2981.7325046422102</v>
          </cell>
          <cell r="I527">
            <v>2227.1078855731798</v>
          </cell>
        </row>
        <row r="528">
          <cell r="A528" t="str">
            <v>D-TGSL</v>
          </cell>
          <cell r="B528" t="str">
            <v>VAR_fout</v>
          </cell>
          <cell r="C528" t="str">
            <v>TGSL</v>
          </cell>
          <cell r="D528">
            <v>82.874471840981812</v>
          </cell>
          <cell r="E528">
            <v>83.320094467789659</v>
          </cell>
          <cell r="F528">
            <v>75.360278406000177</v>
          </cell>
          <cell r="G528">
            <v>61.566037494999215</v>
          </cell>
          <cell r="H528">
            <v>42.114654311290536</v>
          </cell>
          <cell r="I528">
            <v>31.456231621506113</v>
          </cell>
        </row>
        <row r="529">
          <cell r="A529" t="str">
            <v>D-TGSL</v>
          </cell>
          <cell r="B529" t="str">
            <v>VAR_fin</v>
          </cell>
          <cell r="C529" t="str">
            <v>GSL</v>
          </cell>
          <cell r="D529">
            <v>79.506326095632531</v>
          </cell>
          <cell r="E529">
            <v>79.933816564524363</v>
          </cell>
          <cell r="F529">
            <v>72.297241788786152</v>
          </cell>
          <cell r="G529">
            <v>59.063839411805112</v>
          </cell>
          <cell r="H529">
            <v>40.402879466696504</v>
          </cell>
          <cell r="I529">
            <v>30.177613625652821</v>
          </cell>
        </row>
        <row r="530">
          <cell r="A530" t="str">
            <v>D-TGSL</v>
          </cell>
          <cell r="B530" t="str">
            <v>VAR_fin</v>
          </cell>
          <cell r="C530" t="str">
            <v>ETH</v>
          </cell>
          <cell r="D530">
            <v>4.6042435023184876</v>
          </cell>
          <cell r="E530">
            <v>4.6290222385653177</v>
          </cell>
          <cell r="F530">
            <v>4.1870578675623547</v>
          </cell>
          <cell r="G530">
            <v>3.4204744614986895</v>
          </cell>
          <cell r="H530">
            <v>2.3399276138963114</v>
          </cell>
          <cell r="I530">
            <v>1.7477974441962658</v>
          </cell>
        </row>
        <row r="531">
          <cell r="A531" t="str">
            <v>T_TW-BEVELC-S1</v>
          </cell>
          <cell r="B531" t="str">
            <v>VAR_fout</v>
          </cell>
          <cell r="C531" t="str">
            <v>TPTWL</v>
          </cell>
          <cell r="D531">
            <v>1.7461107047316012E-2</v>
          </cell>
          <cell r="E531">
            <v>2.8108771934664656E-2</v>
          </cell>
          <cell r="F531">
            <v>2.82533921474056E-2</v>
          </cell>
          <cell r="G531">
            <v>1.9978381465923012E-2</v>
          </cell>
          <cell r="H531">
            <v>1.6574714936430251E-3</v>
          </cell>
          <cell r="I531">
            <v>1.0339276844338746E-3</v>
          </cell>
        </row>
        <row r="532">
          <cell r="A532" t="str">
            <v>T_TW-BEVELC-S1</v>
          </cell>
          <cell r="B532" t="str">
            <v>VAR_fin</v>
          </cell>
          <cell r="C532" t="str">
            <v>T-ELC-TWSTGout_S1</v>
          </cell>
          <cell r="D532">
            <v>1.5732247835991582E-3</v>
          </cell>
          <cell r="E532">
            <v>2.529002291186102E-3</v>
          </cell>
          <cell r="F532">
            <v>2.5418141597803325E-3</v>
          </cell>
          <cell r="G532">
            <v>1.7960420753569263E-3</v>
          </cell>
          <cell r="H532">
            <v>1.4352022397136555E-4</v>
          </cell>
          <cell r="I532">
            <v>8.7783558994856679E-5</v>
          </cell>
        </row>
        <row r="533">
          <cell r="A533" t="str">
            <v>T_TW-BEVELC-S1</v>
          </cell>
          <cell r="B533" t="str">
            <v>VAR_ncap</v>
          </cell>
          <cell r="C533" t="str">
            <v>-</v>
          </cell>
          <cell r="D533">
            <v>8.68594608353146E-5</v>
          </cell>
          <cell r="E533">
            <v>1.6908803775165699E-3</v>
          </cell>
          <cell r="F533">
            <v>7.24001044206895E-5</v>
          </cell>
          <cell r="G533">
            <v>1.10316691658614E-4</v>
          </cell>
          <cell r="H533">
            <v>1.7249078477720199E-4</v>
          </cell>
          <cell r="I533">
            <v>2.2107068653320799E-4</v>
          </cell>
        </row>
        <row r="534">
          <cell r="A534" t="str">
            <v>T_TW-BEVELC-S1</v>
          </cell>
          <cell r="B534" t="str">
            <v>VAR_cap</v>
          </cell>
          <cell r="C534" t="str">
            <v>-</v>
          </cell>
          <cell r="D534">
            <v>6.0277016782107531E-3</v>
          </cell>
          <cell r="E534">
            <v>9.6726344218635418E-3</v>
          </cell>
          <cell r="F534">
            <v>9.7448895896695125E-3</v>
          </cell>
          <cell r="G534">
            <v>6.9089234377405937E-3</v>
          </cell>
          <cell r="H534">
            <v>6.0329829746756615E-4</v>
          </cell>
          <cell r="I534">
            <v>3.7971798211192288E-4</v>
          </cell>
        </row>
        <row r="535">
          <cell r="A535" t="str">
            <v>T_TW-BEVELC-S2</v>
          </cell>
          <cell r="B535" t="str">
            <v>VAR_fout</v>
          </cell>
          <cell r="C535" t="str">
            <v>TPTWL</v>
          </cell>
          <cell r="D535">
            <v>2.2445713723558344E-3</v>
          </cell>
          <cell r="E535">
            <v>2.793072877435604E-3</v>
          </cell>
          <cell r="F535">
            <v>2.8201142771364825E-3</v>
          </cell>
          <cell r="G535">
            <v>2.4215311104842209E-3</v>
          </cell>
          <cell r="H535">
            <v>4.5304558592744633E-4</v>
          </cell>
          <cell r="I535">
            <v>2.9787942780013399E-4</v>
          </cell>
        </row>
        <row r="536">
          <cell r="A536" t="str">
            <v>T_TW-BEVELC-S2</v>
          </cell>
          <cell r="B536" t="str">
            <v>VAR_fin</v>
          </cell>
          <cell r="C536" t="str">
            <v>T-ELC-TWSTGout_S2</v>
          </cell>
          <cell r="D536">
            <v>3.5715851235991063E-4</v>
          </cell>
          <cell r="E536">
            <v>4.4418606190866814E-4</v>
          </cell>
          <cell r="F536">
            <v>4.4831066588710467E-4</v>
          </cell>
          <cell r="G536">
            <v>3.8447802274622033E-4</v>
          </cell>
          <cell r="H536">
            <v>6.929139353624081E-5</v>
          </cell>
          <cell r="I536">
            <v>4.4909387117103747E-5</v>
          </cell>
        </row>
        <row r="537">
          <cell r="A537" t="str">
            <v>T_TW-BEVELC-S2</v>
          </cell>
          <cell r="B537" t="str">
            <v>VAR_ncap</v>
          </cell>
          <cell r="C537" t="str">
            <v>-</v>
          </cell>
          <cell r="D537">
            <v>1.22519279872419E-5</v>
          </cell>
          <cell r="E537">
            <v>4.4571459803356303E-5</v>
          </cell>
          <cell r="F537">
            <v>3.4253849577289797E-5</v>
          </cell>
          <cell r="G537">
            <v>3.8550521545403702E-5</v>
          </cell>
          <cell r="H537">
            <v>5.5427320679322103E-5</v>
          </cell>
          <cell r="I537">
            <v>4.41711914330985E-5</v>
          </cell>
        </row>
        <row r="538">
          <cell r="A538" t="str">
            <v>T_TW-BEVELC-S2</v>
          </cell>
          <cell r="B538" t="str">
            <v>VAR_cap</v>
          </cell>
          <cell r="C538" t="str">
            <v>-</v>
          </cell>
          <cell r="D538">
            <v>7.9714066242551451E-4</v>
          </cell>
          <cell r="E538">
            <v>9.5972817450994184E-4</v>
          </cell>
          <cell r="F538">
            <v>9.9392743821728464E-4</v>
          </cell>
          <cell r="G538">
            <v>8.675801047663196E-4</v>
          </cell>
          <cell r="H538">
            <v>1.7216858149495985E-4</v>
          </cell>
          <cell r="I538">
            <v>1.1348110407095169E-4</v>
          </cell>
        </row>
        <row r="539">
          <cell r="A539" t="str">
            <v>TFRLFH2OFCL</v>
          </cell>
          <cell r="B539" t="str">
            <v>VAR_ncap</v>
          </cell>
          <cell r="C539" t="str">
            <v>-</v>
          </cell>
          <cell r="G539">
            <v>5.2529748703517799E-8</v>
          </cell>
        </row>
        <row r="540">
          <cell r="A540" t="str">
            <v>TFRLFH2OFCL</v>
          </cell>
          <cell r="B540" t="str">
            <v>VAR_cap</v>
          </cell>
          <cell r="C540" t="str">
            <v>-</v>
          </cell>
          <cell r="G540">
            <v>5.2529748703517799E-8</v>
          </cell>
          <cell r="H540">
            <v>6.2832998287951097E-8</v>
          </cell>
          <cell r="I540">
            <v>6.2832998287951097E-8</v>
          </cell>
        </row>
        <row r="541">
          <cell r="A541" t="str">
            <v>T_TW-BEVELC-S3</v>
          </cell>
          <cell r="B541" t="str">
            <v>VAR_fout</v>
          </cell>
          <cell r="C541" t="str">
            <v>TPTWL</v>
          </cell>
          <cell r="D541">
            <v>3.1363795405707501E-4</v>
          </cell>
          <cell r="E541">
            <v>5.5345346544844333E-4</v>
          </cell>
          <cell r="F541">
            <v>5.821344286756257E-4</v>
          </cell>
          <cell r="G541">
            <v>6.2152152731227055E-4</v>
          </cell>
          <cell r="H541">
            <v>4.1267200517147072E-4</v>
          </cell>
          <cell r="I541">
            <v>1.6646284988594117E-4</v>
          </cell>
        </row>
        <row r="542">
          <cell r="A542" t="str">
            <v>T_TW-BEVELC-S3</v>
          </cell>
          <cell r="B542" t="str">
            <v>VAR_fin</v>
          </cell>
          <cell r="C542" t="str">
            <v>T-ELC-TWSTGout_S3</v>
          </cell>
          <cell r="D542">
            <v>7.6681410180485355E-5</v>
          </cell>
          <cell r="E542">
            <v>1.351021529759113E-4</v>
          </cell>
          <cell r="F542">
            <v>1.4192918693205442E-4</v>
          </cell>
          <cell r="G542">
            <v>1.511834169136594E-4</v>
          </cell>
          <cell r="H542">
            <v>9.8834809697683192E-5</v>
          </cell>
          <cell r="I542">
            <v>3.8421257365856942E-5</v>
          </cell>
        </row>
        <row r="543">
          <cell r="A543" t="str">
            <v>T_TW-BEVELC-S3</v>
          </cell>
          <cell r="B543" t="str">
            <v>VAR_ncap</v>
          </cell>
          <cell r="C543" t="str">
            <v>-</v>
          </cell>
          <cell r="D543">
            <v>7.1282206857884896E-6</v>
          </cell>
          <cell r="E543">
            <v>2.0680218455374099E-5</v>
          </cell>
          <cell r="F543">
            <v>1.93767477864146E-5</v>
          </cell>
          <cell r="G543">
            <v>1.9654342280417702E-5</v>
          </cell>
          <cell r="H543">
            <v>2.05029051578514E-5</v>
          </cell>
          <cell r="I543">
            <v>1.8230024980556299E-5</v>
          </cell>
        </row>
        <row r="544">
          <cell r="A544" t="str">
            <v>T_TW-BEVELC-S3</v>
          </cell>
          <cell r="B544" t="str">
            <v>VAR_cap</v>
          </cell>
          <cell r="C544" t="str">
            <v>-</v>
          </cell>
          <cell r="D544">
            <v>1.1411287777842076E-4</v>
          </cell>
          <cell r="E544">
            <v>1.8974665759276436E-4</v>
          </cell>
          <cell r="F544">
            <v>2.0911649645501061E-4</v>
          </cell>
          <cell r="G544">
            <v>2.287584347345323E-4</v>
          </cell>
          <cell r="H544">
            <v>1.5778490851178225E-4</v>
          </cell>
          <cell r="I544">
            <v>6.3524639065461124E-5</v>
          </cell>
        </row>
        <row r="545">
          <cell r="A545" t="str">
            <v>T_TW-BEVELC-S4</v>
          </cell>
          <cell r="B545" t="str">
            <v>VAR_fout</v>
          </cell>
          <cell r="C545" t="str">
            <v>TPTWL</v>
          </cell>
          <cell r="D545">
            <v>9.5069606121040288E-5</v>
          </cell>
          <cell r="E545">
            <v>2.1020032737538655E-4</v>
          </cell>
          <cell r="F545">
            <v>2.6015941269157806E-4</v>
          </cell>
          <cell r="G545">
            <v>2.9977572496075382E-4</v>
          </cell>
          <cell r="H545">
            <v>4.2723397004634382E-4</v>
          </cell>
          <cell r="I545">
            <v>2.6234474651096298E-4</v>
          </cell>
        </row>
        <row r="546">
          <cell r="A546" t="str">
            <v>T_TW-BEVELC-S4</v>
          </cell>
          <cell r="B546" t="str">
            <v>VAR_fin</v>
          </cell>
          <cell r="C546" t="str">
            <v>T-ELC-TWSTGout_S4</v>
          </cell>
          <cell r="D546">
            <v>2.5250532708581247E-5</v>
          </cell>
          <cell r="E546">
            <v>5.5671994104024586E-5</v>
          </cell>
          <cell r="F546">
            <v>6.867671965069043E-5</v>
          </cell>
          <cell r="G546">
            <v>7.8788626401875132E-5</v>
          </cell>
          <cell r="H546">
            <v>1.1075689247789303E-4</v>
          </cell>
          <cell r="I546">
            <v>6.6210774458110521E-5</v>
          </cell>
        </row>
        <row r="547">
          <cell r="A547" t="str">
            <v>T_TW-BEVELC-S4</v>
          </cell>
          <cell r="B547" t="str">
            <v>VAR_ncap</v>
          </cell>
          <cell r="C547" t="str">
            <v>-</v>
          </cell>
          <cell r="D547">
            <v>2.19353857534093E-5</v>
          </cell>
          <cell r="E547">
            <v>2.2670493375713099E-5</v>
          </cell>
          <cell r="F547">
            <v>2.2274717535598301E-5</v>
          </cell>
          <cell r="G547">
            <v>1.8198695231272401E-5</v>
          </cell>
          <cell r="H547">
            <v>2.43323185555452E-5</v>
          </cell>
          <cell r="I547">
            <v>1.93432424279354E-5</v>
          </cell>
        </row>
        <row r="548">
          <cell r="A548" t="str">
            <v>T_TW-BEVELC-S4</v>
          </cell>
          <cell r="B548" t="str">
            <v>VAR_cap</v>
          </cell>
          <cell r="C548" t="str">
            <v>-</v>
          </cell>
          <cell r="D548">
            <v>3.4935385753409301E-5</v>
          </cell>
          <cell r="E548">
            <v>7.1580560043976949E-5</v>
          </cell>
          <cell r="F548">
            <v>9.3851649497792862E-5</v>
          </cell>
          <cell r="G548">
            <v>1.1201516740431553E-4</v>
          </cell>
          <cell r="H548">
            <v>1.6239898556747451E-4</v>
          </cell>
          <cell r="I548">
            <v>1.0073829933814583E-4</v>
          </cell>
        </row>
        <row r="549">
          <cell r="A549" t="str">
            <v>T_B_u-BeVELCEXT</v>
          </cell>
          <cell r="B549" t="str">
            <v>VAR_fout</v>
          </cell>
          <cell r="C549" t="str">
            <v>TPBSu</v>
          </cell>
          <cell r="D549">
            <v>1.9972244603060751E-3</v>
          </cell>
          <cell r="E549">
            <v>1.6074245408703326E-3</v>
          </cell>
          <cell r="F549">
            <v>1.003961447753689E-3</v>
          </cell>
        </row>
        <row r="550">
          <cell r="A550" t="str">
            <v>T_B_u-BeVELCEXT</v>
          </cell>
          <cell r="B550" t="str">
            <v>VAR_fin</v>
          </cell>
          <cell r="C550" t="str">
            <v>TELC</v>
          </cell>
          <cell r="D550">
            <v>4.7659582200858426E-4</v>
          </cell>
          <cell r="E550">
            <v>4.7645029767554037E-4</v>
          </cell>
          <cell r="F550">
            <v>4.6729123954726548E-4</v>
          </cell>
        </row>
        <row r="551">
          <cell r="A551" t="str">
            <v>T_B_u-BeVELCEXT</v>
          </cell>
          <cell r="B551" t="str">
            <v>VAR_cap</v>
          </cell>
          <cell r="C551" t="str">
            <v>-</v>
          </cell>
          <cell r="D551">
            <v>3.77895550061805E-5</v>
          </cell>
          <cell r="E551">
            <v>3.02316440049444E-5</v>
          </cell>
          <cell r="F551">
            <v>1.8894777503090199E-5</v>
          </cell>
        </row>
        <row r="552">
          <cell r="A552" t="str">
            <v>T_B_u-HYBDSL-S1</v>
          </cell>
          <cell r="B552" t="str">
            <v>VAR_fout</v>
          </cell>
          <cell r="C552" t="str">
            <v>CO2_T</v>
          </cell>
          <cell r="E552">
            <v>15.715907403643</v>
          </cell>
          <cell r="F552">
            <v>15.729363370980629</v>
          </cell>
          <cell r="G552">
            <v>9.9966007396775913E-3</v>
          </cell>
          <cell r="H552">
            <v>2.3883198949072926E-2</v>
          </cell>
          <cell r="I552">
            <v>1.8979689092454951E-2</v>
          </cell>
        </row>
        <row r="553">
          <cell r="A553" t="str">
            <v>T_B_u-HYBDSL-S1</v>
          </cell>
          <cell r="B553" t="str">
            <v>VAR_fout</v>
          </cell>
          <cell r="C553" t="str">
            <v>TPBSu</v>
          </cell>
          <cell r="E553">
            <v>3.4843796127329338E-2</v>
          </cell>
          <cell r="F553">
            <v>3.4875186652662309E-2</v>
          </cell>
          <cell r="G553">
            <v>2.3935858940671814E-5</v>
          </cell>
          <cell r="H553">
            <v>6.4649986564569321E-5</v>
          </cell>
          <cell r="I553">
            <v>5.6034104383988635E-5</v>
          </cell>
        </row>
        <row r="554">
          <cell r="A554" t="str">
            <v>T_B_u-HYBDSL-S1</v>
          </cell>
          <cell r="B554" t="str">
            <v>VAR_fin</v>
          </cell>
          <cell r="C554" t="str">
            <v>TDSL</v>
          </cell>
          <cell r="E554">
            <v>0.21440528517930488</v>
          </cell>
          <cell r="F554">
            <v>0.21458885908568331</v>
          </cell>
          <cell r="G554">
            <v>1.3637927339260009E-4</v>
          </cell>
          <cell r="H554">
            <v>3.2582808934615104E-4</v>
          </cell>
          <cell r="I554">
            <v>2.5893163836909836E-4</v>
          </cell>
        </row>
        <row r="555">
          <cell r="A555" t="str">
            <v>T_B_u-HYBDSL-S1</v>
          </cell>
          <cell r="B555" t="str">
            <v>VAR_ncap</v>
          </cell>
          <cell r="C555" t="str">
            <v>-</v>
          </cell>
          <cell r="E555">
            <v>6.5713499058330101E-4</v>
          </cell>
          <cell r="F555">
            <v>6.6087288104577597E-7</v>
          </cell>
          <cell r="G555">
            <v>2.4804092880514401E-7</v>
          </cell>
          <cell r="H555">
            <v>5.6808408509551798E-7</v>
          </cell>
          <cell r="I555">
            <v>7.8703122575076397E-7</v>
          </cell>
        </row>
        <row r="556">
          <cell r="A556" t="str">
            <v>T_B_u-HYBDSL-S1</v>
          </cell>
          <cell r="B556" t="str">
            <v>VAR_cap</v>
          </cell>
          <cell r="C556" t="str">
            <v>-</v>
          </cell>
          <cell r="E556">
            <v>6.5713499058330101E-4</v>
          </cell>
          <cell r="F556">
            <v>6.57795863464346E-4</v>
          </cell>
          <cell r="G556">
            <v>5.320594168439774E-7</v>
          </cell>
          <cell r="H556">
            <v>1.3628674178462776E-6</v>
          </cell>
          <cell r="I556">
            <v>1.2075770111200301E-6</v>
          </cell>
        </row>
        <row r="557">
          <cell r="A557" t="str">
            <v>T_B_u-HYBDSL-S2</v>
          </cell>
          <cell r="B557" t="str">
            <v>VAR_fout</v>
          </cell>
          <cell r="C557" t="str">
            <v>CO2_T</v>
          </cell>
          <cell r="E557">
            <v>0.37435636298075597</v>
          </cell>
          <cell r="F557">
            <v>0.38336713827787444</v>
          </cell>
          <cell r="G557">
            <v>1.7807528130576591E-2</v>
          </cell>
          <cell r="H557">
            <v>2.5424396031315535E-2</v>
          </cell>
          <cell r="I557">
            <v>1.7820245616250729E-2</v>
          </cell>
        </row>
        <row r="558">
          <cell r="A558" t="str">
            <v>T_B_u-HYBDSL-S2</v>
          </cell>
          <cell r="B558" t="str">
            <v>VAR_fout</v>
          </cell>
          <cell r="C558" t="str">
            <v>TPBSu</v>
          </cell>
          <cell r="E558">
            <v>5.9495560130110015E-4</v>
          </cell>
          <cell r="F558">
            <v>6.0998997499813043E-4</v>
          </cell>
          <cell r="G558">
            <v>3.0235426852385538E-5</v>
          </cell>
          <cell r="H558">
            <v>4.9306675727498707E-5</v>
          </cell>
          <cell r="I558">
            <v>3.7486351272402177E-5</v>
          </cell>
        </row>
        <row r="559">
          <cell r="A559" t="str">
            <v>T_B_u-HYBDSL-S2</v>
          </cell>
          <cell r="B559" t="str">
            <v>VAR_fin</v>
          </cell>
          <cell r="C559" t="str">
            <v>TDSL</v>
          </cell>
          <cell r="E559">
            <v>5.1071809410744278E-3</v>
          </cell>
          <cell r="F559">
            <v>5.2301110269832854E-3</v>
          </cell>
          <cell r="G559">
            <v>2.4294035648808452E-4</v>
          </cell>
          <cell r="H559">
            <v>3.4685397041358173E-4</v>
          </cell>
          <cell r="I559">
            <v>2.4311385561051537E-4</v>
          </cell>
        </row>
        <row r="560">
          <cell r="A560" t="str">
            <v>T_B_u-HYBDSL-S2</v>
          </cell>
          <cell r="B560" t="str">
            <v>VAR_ncap</v>
          </cell>
          <cell r="C560" t="str">
            <v>-</v>
          </cell>
          <cell r="E560">
            <v>1.12376814800288E-5</v>
          </cell>
          <cell r="F560">
            <v>2.9044642607598798E-7</v>
          </cell>
          <cell r="G560">
            <v>2.05748117613409E-7</v>
          </cell>
          <cell r="H560">
            <v>4.0446627790904398E-7</v>
          </cell>
          <cell r="I560">
            <v>4.4340562589094502E-7</v>
          </cell>
        </row>
        <row r="561">
          <cell r="A561" t="str">
            <v>T_B_u-HYBDSL-S2</v>
          </cell>
          <cell r="B561" t="str">
            <v>VAR_cap</v>
          </cell>
          <cell r="C561" t="str">
            <v>-</v>
          </cell>
          <cell r="E561">
            <v>1.12376814800288E-5</v>
          </cell>
          <cell r="F561">
            <v>1.1528127906104799E-5</v>
          </cell>
          <cell r="G561">
            <v>5.9104892242224015E-7</v>
          </cell>
          <cell r="H561">
            <v>9.7605270217599991E-7</v>
          </cell>
          <cell r="I561">
            <v>7.4015928098241095E-7</v>
          </cell>
        </row>
        <row r="562">
          <cell r="A562" t="str">
            <v>T_B_u-HYBDSL-S3</v>
          </cell>
          <cell r="B562" t="str">
            <v>VAR_fout</v>
          </cell>
          <cell r="C562" t="str">
            <v>CO2_T</v>
          </cell>
          <cell r="E562">
            <v>3.2389663791882701</v>
          </cell>
          <cell r="F562">
            <v>42.04684891109018</v>
          </cell>
          <cell r="G562">
            <v>69.02154324473679</v>
          </cell>
          <cell r="H562">
            <v>83.385093949794694</v>
          </cell>
          <cell r="I562">
            <v>97.898149325219606</v>
          </cell>
        </row>
        <row r="563">
          <cell r="A563" t="str">
            <v>T_B_u-HYBDSL-S3</v>
          </cell>
          <cell r="B563" t="str">
            <v>VAR_fout</v>
          </cell>
          <cell r="C563" t="str">
            <v>TPBSu</v>
          </cell>
          <cell r="E563">
            <v>3.4570698100002983E-3</v>
          </cell>
          <cell r="F563">
            <v>4.697840963903685E-2</v>
          </cell>
          <cell r="G563">
            <v>7.9852892761000466E-2</v>
          </cell>
          <cell r="H563">
            <v>0.10874557577596387</v>
          </cell>
          <cell r="I563">
            <v>0.14369219639978431</v>
          </cell>
        </row>
        <row r="564">
          <cell r="A564" t="str">
            <v>T_B_u-HYBDSL-S3</v>
          </cell>
          <cell r="B564" t="str">
            <v>VAR_fin</v>
          </cell>
          <cell r="C564" t="str">
            <v>TDSL</v>
          </cell>
          <cell r="E564">
            <v>4.4187808720167421E-2</v>
          </cell>
          <cell r="F564">
            <v>0.57362686099713733</v>
          </cell>
          <cell r="G564">
            <v>0.94163087646298516</v>
          </cell>
          <cell r="H564">
            <v>1.1375865477461766</v>
          </cell>
          <cell r="I564">
            <v>1.3355818461830766</v>
          </cell>
        </row>
        <row r="565">
          <cell r="A565" t="str">
            <v>T_B_u-HYBDSL-S3</v>
          </cell>
          <cell r="B565" t="str">
            <v>VAR_ncap</v>
          </cell>
          <cell r="C565" t="str">
            <v>-</v>
          </cell>
          <cell r="E565">
            <v>6.5197970253868303E-5</v>
          </cell>
          <cell r="F565">
            <v>8.2070717010444903E-4</v>
          </cell>
          <cell r="G565">
            <v>6.4648812223665599E-4</v>
          </cell>
          <cell r="H565">
            <v>7.7737903495053999E-4</v>
          </cell>
          <cell r="I565">
            <v>2.44341681751572E-3</v>
          </cell>
        </row>
        <row r="566">
          <cell r="A566" t="str">
            <v>T_B_u-HYBDSL-S3</v>
          </cell>
          <cell r="B566" t="str">
            <v>VAR_cap</v>
          </cell>
          <cell r="C566" t="str">
            <v>-</v>
          </cell>
          <cell r="E566">
            <v>6.5197970253868303E-5</v>
          </cell>
          <cell r="F566">
            <v>8.8590514035831697E-4</v>
          </cell>
          <cell r="G566">
            <v>1.5058246819016599E-3</v>
          </cell>
          <cell r="H566">
            <v>2.0506642428399099E-3</v>
          </cell>
          <cell r="I566">
            <v>2.7096856537598898E-3</v>
          </cell>
        </row>
        <row r="567">
          <cell r="A567" t="str">
            <v>T_C-HY-GSL-S1</v>
          </cell>
          <cell r="B567" t="str">
            <v>VAR_fout</v>
          </cell>
          <cell r="C567" t="str">
            <v>CO2_T</v>
          </cell>
          <cell r="D567">
            <v>3.4018052762956379</v>
          </cell>
          <cell r="E567">
            <v>3.922055453902614</v>
          </cell>
          <cell r="F567">
            <v>2.7551922939210356</v>
          </cell>
          <cell r="G567">
            <v>2.1202093011832841</v>
          </cell>
          <cell r="H567">
            <v>61.086298332653385</v>
          </cell>
          <cell r="I567">
            <v>24.749520045352337</v>
          </cell>
        </row>
        <row r="568">
          <cell r="A568" t="str">
            <v>T_C-HY-GSL-S1</v>
          </cell>
          <cell r="B568" t="str">
            <v>VAR_fout</v>
          </cell>
          <cell r="C568" t="str">
            <v>TPCAR</v>
          </cell>
          <cell r="D568">
            <v>5.2307558342583715E-2</v>
          </cell>
          <cell r="E568">
            <v>6.1529379309838081E-2</v>
          </cell>
          <cell r="F568">
            <v>4.3110999861662155E-2</v>
          </cell>
          <cell r="G568">
            <v>3.4459997394528312E-2</v>
          </cell>
          <cell r="H568">
            <v>0.78277905261356251</v>
          </cell>
          <cell r="I568">
            <v>0.31930061400701654</v>
          </cell>
        </row>
        <row r="569">
          <cell r="A569" t="str">
            <v>T_C-HY-GSL-S1</v>
          </cell>
          <cell r="B569" t="str">
            <v>VAR_fin</v>
          </cell>
          <cell r="C569" t="str">
            <v>TGSL</v>
          </cell>
          <cell r="D569">
            <v>4.6094922443030345E-2</v>
          </cell>
          <cell r="E569">
            <v>5.3144382844208894E-2</v>
          </cell>
          <cell r="F569">
            <v>3.733322891491922E-2</v>
          </cell>
          <cell r="G569">
            <v>2.8729123322266788E-2</v>
          </cell>
          <cell r="H569">
            <v>0.82772761968365005</v>
          </cell>
          <cell r="I569">
            <v>0.33535935020802726</v>
          </cell>
        </row>
        <row r="570">
          <cell r="A570" t="str">
            <v>T_C-HY-GSL-S1</v>
          </cell>
          <cell r="B570" t="str">
            <v>VAR_ncap</v>
          </cell>
          <cell r="C570" t="str">
            <v>-</v>
          </cell>
          <cell r="E570">
            <v>1.45381685112131E-5</v>
          </cell>
          <cell r="F570">
            <v>7.4232637124319005E-5</v>
          </cell>
          <cell r="G570">
            <v>2.6742655144149E-5</v>
          </cell>
          <cell r="H570">
            <v>6.0729265002157397E-2</v>
          </cell>
          <cell r="I570">
            <v>3.8453001956291201E-5</v>
          </cell>
        </row>
        <row r="571">
          <cell r="A571" t="str">
            <v>T_C-HY-GSL-S1</v>
          </cell>
          <cell r="B571" t="str">
            <v>VAR_cap</v>
          </cell>
          <cell r="C571" t="str">
            <v>-</v>
          </cell>
          <cell r="D571">
            <v>5.6686661527510481E-3</v>
          </cell>
          <cell r="E571">
            <v>6.5736527043881339E-3</v>
          </cell>
          <cell r="F571">
            <v>6.5389665185950699E-3</v>
          </cell>
          <cell r="G571">
            <v>5.2320720116970469E-3</v>
          </cell>
          <cell r="H571">
            <v>0.11896043964994708</v>
          </cell>
          <cell r="I571">
            <v>4.8524819548447569E-2</v>
          </cell>
        </row>
        <row r="572">
          <cell r="A572" t="str">
            <v>T_B_u-HYBDSL-S4</v>
          </cell>
          <cell r="B572" t="str">
            <v>VAR_fout</v>
          </cell>
          <cell r="C572" t="str">
            <v>CO2_T</v>
          </cell>
          <cell r="H572">
            <v>7.9719925017741194E-4</v>
          </cell>
        </row>
        <row r="573">
          <cell r="A573" t="str">
            <v>T_B_u-HYBDSL-S4</v>
          </cell>
          <cell r="B573" t="str">
            <v>VAR_fout</v>
          </cell>
          <cell r="C573" t="str">
            <v>TPBSu</v>
          </cell>
          <cell r="H573">
            <v>7.0748068198918648E-7</v>
          </cell>
        </row>
        <row r="574">
          <cell r="A574" t="str">
            <v>T_B_u-HYBDSL-S4</v>
          </cell>
          <cell r="B574" t="str">
            <v>VAR_fin</v>
          </cell>
          <cell r="C574" t="str">
            <v>TDSL</v>
          </cell>
          <cell r="H574">
            <v>1.0875842430796884E-5</v>
          </cell>
        </row>
        <row r="575">
          <cell r="A575" t="str">
            <v>T_B_u-HYBDSL-S4</v>
          </cell>
          <cell r="B575" t="str">
            <v>VAR_cap</v>
          </cell>
          <cell r="C575" t="str">
            <v>-</v>
          </cell>
          <cell r="H575">
            <v>6.8552047596947701E-9</v>
          </cell>
        </row>
        <row r="576">
          <cell r="A576" t="str">
            <v>TFRLFDSLEXT</v>
          </cell>
          <cell r="B576" t="str">
            <v>VAR_fout</v>
          </cell>
          <cell r="C576" t="str">
            <v>CO2_T</v>
          </cell>
          <cell r="D576">
            <v>29.0334272947361</v>
          </cell>
          <cell r="E576">
            <v>20.325298718597999</v>
          </cell>
          <cell r="F576">
            <v>2.2521917132756499E-2</v>
          </cell>
          <cell r="G576">
            <v>2.3483699824504701E-2</v>
          </cell>
          <cell r="H576">
            <v>2.3633417561641199E-2</v>
          </cell>
        </row>
        <row r="577">
          <cell r="A577" t="str">
            <v>TFRLFDSLEXT</v>
          </cell>
          <cell r="B577" t="str">
            <v>VAR_fout</v>
          </cell>
          <cell r="C577" t="str">
            <v>TFRLF</v>
          </cell>
          <cell r="D577">
            <v>1.6053837109438001E-3</v>
          </cell>
          <cell r="E577">
            <v>1.1238736354360797E-3</v>
          </cell>
          <cell r="F577">
            <v>1.2453341638625213E-6</v>
          </cell>
          <cell r="G577">
            <v>1.2985152868186844E-6</v>
          </cell>
          <cell r="H577">
            <v>1.3067938277569727E-6</v>
          </cell>
        </row>
        <row r="578">
          <cell r="A578" t="str">
            <v>TFRLFDSLEXT</v>
          </cell>
          <cell r="B578" t="str">
            <v>VAR_fin</v>
          </cell>
          <cell r="C578" t="str">
            <v>TDSL</v>
          </cell>
          <cell r="D578">
            <v>0.39609041329790007</v>
          </cell>
          <cell r="E578">
            <v>0.27728920489219711</v>
          </cell>
          <cell r="F578">
            <v>3.0725671395302268E-4</v>
          </cell>
          <cell r="G578">
            <v>3.2037789665081469E-4</v>
          </cell>
          <cell r="H578">
            <v>3.2242043058173527E-4</v>
          </cell>
        </row>
        <row r="579">
          <cell r="A579" t="str">
            <v>TFRLFDSLEXT</v>
          </cell>
          <cell r="B579" t="str">
            <v>VAR_ncap</v>
          </cell>
          <cell r="C579" t="str">
            <v>-</v>
          </cell>
          <cell r="D579">
            <v>1.4820763032193099E-4</v>
          </cell>
        </row>
        <row r="580">
          <cell r="A580" t="str">
            <v>TFRLFDSLEXT</v>
          </cell>
          <cell r="B580" t="str">
            <v>VAR_cap</v>
          </cell>
          <cell r="C580" t="str">
            <v>-</v>
          </cell>
          <cell r="D580">
            <v>1.4820763032193099E-4</v>
          </cell>
          <cell r="E580">
            <v>1.4820763032193099E-4</v>
          </cell>
          <cell r="F580">
            <v>1.9134439709799682E-7</v>
          </cell>
          <cell r="G580">
            <v>1.9019690377798768E-7</v>
          </cell>
          <cell r="H580">
            <v>1.900786971149968E-7</v>
          </cell>
          <cell r="I580">
            <v>9.5342987222802635E-8</v>
          </cell>
        </row>
        <row r="581">
          <cell r="A581" t="str">
            <v>T_C-HY-GSL-S2</v>
          </cell>
          <cell r="B581" t="str">
            <v>VAR_fout</v>
          </cell>
          <cell r="C581" t="str">
            <v>CO2_T</v>
          </cell>
          <cell r="D581">
            <v>10.00370232203254</v>
          </cell>
          <cell r="E581">
            <v>15.123464747853875</v>
          </cell>
          <cell r="F581">
            <v>21.859071882472307</v>
          </cell>
          <cell r="G581">
            <v>17.649775160837706</v>
          </cell>
          <cell r="H581">
            <v>56.658905724803461</v>
          </cell>
          <cell r="I581">
            <v>87.215383439524757</v>
          </cell>
        </row>
        <row r="582">
          <cell r="A582" t="str">
            <v>T_C-HY-GSL-S2</v>
          </cell>
          <cell r="B582" t="str">
            <v>VAR_fout</v>
          </cell>
          <cell r="C582" t="str">
            <v>TPCAR</v>
          </cell>
          <cell r="D582">
            <v>0.21991029241549231</v>
          </cell>
          <cell r="E582">
            <v>0.38842095897865564</v>
          </cell>
          <cell r="F582">
            <v>0.55499075641407691</v>
          </cell>
          <cell r="G582">
            <v>0.45863683666469668</v>
          </cell>
          <cell r="H582">
            <v>0.60187978524852448</v>
          </cell>
          <cell r="I582">
            <v>1.0240557766768354</v>
          </cell>
        </row>
        <row r="583">
          <cell r="A583" t="str">
            <v>T_C-HY-GSL-S2</v>
          </cell>
          <cell r="B583" t="str">
            <v>VAR_fin</v>
          </cell>
          <cell r="C583" t="str">
            <v>TGSL</v>
          </cell>
          <cell r="D583">
            <v>0.13555152197876075</v>
          </cell>
          <cell r="E583">
            <v>0.20492499658338573</v>
          </cell>
          <cell r="F583">
            <v>0.29619338594135936</v>
          </cell>
          <cell r="G583">
            <v>0.23915684499780096</v>
          </cell>
          <cell r="H583">
            <v>0.7677358499295861</v>
          </cell>
          <cell r="I583">
            <v>1.1817802634081942</v>
          </cell>
        </row>
        <row r="584">
          <cell r="A584" t="str">
            <v>T_C-HY-GSL-S2</v>
          </cell>
          <cell r="B584" t="str">
            <v>VAR_ncap</v>
          </cell>
          <cell r="C584" t="str">
            <v>-</v>
          </cell>
          <cell r="E584">
            <v>2.4330138070845201E-4</v>
          </cell>
          <cell r="F584">
            <v>1.39233998313276E-2</v>
          </cell>
          <cell r="G584">
            <v>4.2091321875063001E-5</v>
          </cell>
          <cell r="H584">
            <v>8.3273497850221805E-3</v>
          </cell>
          <cell r="I584">
            <v>0.103211508746753</v>
          </cell>
        </row>
        <row r="585">
          <cell r="A585" t="str">
            <v>T_C-HY-GSL-S2</v>
          </cell>
          <cell r="B585" t="str">
            <v>VAR_cap</v>
          </cell>
          <cell r="C585" t="str">
            <v>-</v>
          </cell>
          <cell r="D585">
            <v>1.7226747882705781E-2</v>
          </cell>
          <cell r="E585">
            <v>2.9470497997574698E-2</v>
          </cell>
          <cell r="F585">
            <v>4.2112266444427983E-2</v>
          </cell>
          <cell r="G585">
            <v>3.4800145487045298E-2</v>
          </cell>
          <cell r="H585">
            <v>6.2776440734484282E-2</v>
          </cell>
          <cell r="I585">
            <v>0.108009083411838</v>
          </cell>
        </row>
        <row r="586">
          <cell r="A586" t="str">
            <v>TPSHPNGAEXT</v>
          </cell>
          <cell r="B586" t="str">
            <v>VAR_fout</v>
          </cell>
          <cell r="C586" t="str">
            <v>TPSHP</v>
          </cell>
          <cell r="E586">
            <v>6.27641583041146E-7</v>
          </cell>
          <cell r="F586">
            <v>5.0000375694238102</v>
          </cell>
          <cell r="G586">
            <v>8.5377012206836405</v>
          </cell>
          <cell r="H586">
            <v>6.7665285328739602E-6</v>
          </cell>
          <cell r="I586">
            <v>1.2942526054451601E-5</v>
          </cell>
        </row>
        <row r="587">
          <cell r="A587" t="str">
            <v>TPSHPNGAEXT</v>
          </cell>
          <cell r="B587" t="str">
            <v>VAR_fout</v>
          </cell>
          <cell r="C587" t="str">
            <v>CO2_T</v>
          </cell>
          <cell r="E587">
            <v>3.7618711935225397E-5</v>
          </cell>
          <cell r="F587">
            <v>299.68532689958698</v>
          </cell>
          <cell r="G587">
            <v>511.72091124635602</v>
          </cell>
          <cell r="H587">
            <v>4.0556281571768198E-4</v>
          </cell>
          <cell r="I587">
            <v>7.7573120155208805E-4</v>
          </cell>
        </row>
        <row r="588">
          <cell r="A588" t="str">
            <v>TPSHPNGAEXT</v>
          </cell>
          <cell r="B588" t="str">
            <v>VAR_fin</v>
          </cell>
          <cell r="C588" t="str">
            <v>TNGA</v>
          </cell>
          <cell r="E588">
            <v>6.6699843856782693E-7</v>
          </cell>
          <cell r="F588">
            <v>5.3135696258791718</v>
          </cell>
          <cell r="G588">
            <v>9.0730658022403556</v>
          </cell>
          <cell r="H588">
            <v>7.1908300659163032E-6</v>
          </cell>
          <cell r="I588">
            <v>1.3754099318299506E-5</v>
          </cell>
        </row>
        <row r="589">
          <cell r="A589" t="str">
            <v>TPSHPNGAEXT</v>
          </cell>
          <cell r="B589" t="str">
            <v>VAR_ncap</v>
          </cell>
          <cell r="C589" t="str">
            <v>-</v>
          </cell>
          <cell r="D589">
            <v>8.7676919338983693E-6</v>
          </cell>
          <cell r="E589">
            <v>2.1412430707512202E-5</v>
          </cell>
          <cell r="F589">
            <v>5.0000033966869504</v>
          </cell>
          <cell r="G589">
            <v>3.5376677089459698</v>
          </cell>
          <cell r="H589">
            <v>4.5644257974273001E-7</v>
          </cell>
          <cell r="I589">
            <v>1.40498337317599E-7</v>
          </cell>
        </row>
        <row r="590">
          <cell r="A590" t="str">
            <v>TPSHPNGAEXT</v>
          </cell>
          <cell r="B590" t="str">
            <v>VAR_cap</v>
          </cell>
          <cell r="C590" t="str">
            <v>-</v>
          </cell>
          <cell r="D590">
            <v>8.7676919338983693E-6</v>
          </cell>
          <cell r="E590">
            <v>3.01801226414106E-5</v>
          </cell>
          <cell r="F590">
            <v>5.0000327046091471</v>
          </cell>
          <cell r="G590">
            <v>8.5376986117404812</v>
          </cell>
          <cell r="H590">
            <v>2.7190481102223885E-6</v>
          </cell>
          <cell r="I590">
            <v>-2.5883239995749818E-8</v>
          </cell>
        </row>
        <row r="591">
          <cell r="A591" t="str">
            <v>T_C-HY-DSL-S1</v>
          </cell>
          <cell r="B591" t="str">
            <v>VAR_fout</v>
          </cell>
          <cell r="C591" t="str">
            <v>CO2_T</v>
          </cell>
          <cell r="D591">
            <v>2.3015649832802301E-3</v>
          </cell>
          <cell r="E591">
            <v>1.1659000514962589E-2</v>
          </cell>
          <cell r="F591">
            <v>4.187812822067128E-2</v>
          </cell>
          <cell r="G591">
            <v>4.8860316167235074E-2</v>
          </cell>
          <cell r="H591">
            <v>53.805537262013416</v>
          </cell>
          <cell r="I591">
            <v>17.869930544701081</v>
          </cell>
        </row>
        <row r="592">
          <cell r="A592" t="str">
            <v>T_C-HY-DSL-S1</v>
          </cell>
          <cell r="B592" t="str">
            <v>VAR_fout</v>
          </cell>
          <cell r="C592" t="str">
            <v>TPCAR</v>
          </cell>
          <cell r="D592">
            <v>1.3132459022246017E-5</v>
          </cell>
          <cell r="E592">
            <v>2.302798402390587E-4</v>
          </cell>
          <cell r="F592">
            <v>7.9471941328511429E-4</v>
          </cell>
          <cell r="G592">
            <v>8.3799729090318212E-4</v>
          </cell>
          <cell r="H592">
            <v>0.68378720330381382</v>
          </cell>
          <cell r="I592">
            <v>0.22817025543578293</v>
          </cell>
        </row>
        <row r="593">
          <cell r="A593" t="str">
            <v>T_C-HY-DSL-S1</v>
          </cell>
          <cell r="B593" t="str">
            <v>VAR_fin</v>
          </cell>
          <cell r="C593" t="str">
            <v>TDSL</v>
          </cell>
          <cell r="D593">
            <v>3.1399249430835343E-5</v>
          </cell>
          <cell r="E593">
            <v>1.5905867005406015E-4</v>
          </cell>
          <cell r="F593">
            <v>5.7132507804462916E-4</v>
          </cell>
          <cell r="G593">
            <v>6.6658002956664487E-4</v>
          </cell>
          <cell r="H593">
            <v>0.73404552881327989</v>
          </cell>
          <cell r="I593">
            <v>0.24379168546659058</v>
          </cell>
        </row>
        <row r="594">
          <cell r="A594" t="str">
            <v>T_C-HY-DSL-S1</v>
          </cell>
          <cell r="B594" t="str">
            <v>VAR_ncap</v>
          </cell>
          <cell r="C594" t="str">
            <v>-</v>
          </cell>
          <cell r="E594">
            <v>2.3565679764024501E-5</v>
          </cell>
          <cell r="F594">
            <v>9.5453424887395296E-5</v>
          </cell>
          <cell r="G594">
            <v>2.57307556184596E-5</v>
          </cell>
          <cell r="H594">
            <v>1.8681897426118001E-2</v>
          </cell>
          <cell r="I594">
            <v>3.8268383416087298E-5</v>
          </cell>
        </row>
        <row r="595">
          <cell r="A595" t="str">
            <v>T_C-HY-DSL-S1</v>
          </cell>
          <cell r="B595" t="str">
            <v>VAR_cap</v>
          </cell>
          <cell r="C595" t="str">
            <v>-</v>
          </cell>
          <cell r="D595">
            <v>1.5999999999999999E-6</v>
          </cell>
          <cell r="E595">
            <v>2.4707458360953663E-5</v>
          </cell>
          <cell r="F595">
            <v>1.1767752016089171E-4</v>
          </cell>
          <cell r="G595">
            <v>1.2574369223957273E-4</v>
          </cell>
          <cell r="H595">
            <v>0.10391606650150005</v>
          </cell>
          <cell r="I595">
            <v>3.467523170154288E-2</v>
          </cell>
        </row>
        <row r="596">
          <cell r="A596" t="str">
            <v>T_C-HY-GSL-S3</v>
          </cell>
          <cell r="B596" t="str">
            <v>VAR_fout</v>
          </cell>
          <cell r="C596" t="str">
            <v>CO2_T</v>
          </cell>
          <cell r="D596">
            <v>7.4831139683350791</v>
          </cell>
          <cell r="E596">
            <v>105.9590526504396</v>
          </cell>
          <cell r="F596">
            <v>100.16155680061915</v>
          </cell>
          <cell r="G596">
            <v>80.151289026087909</v>
          </cell>
          <cell r="H596">
            <v>5.0657165074780491E-2</v>
          </cell>
          <cell r="I596">
            <v>3.143551622272206E-2</v>
          </cell>
        </row>
        <row r="597">
          <cell r="A597" t="str">
            <v>T_C-HY-GSL-S3</v>
          </cell>
          <cell r="B597" t="str">
            <v>VAR_fout</v>
          </cell>
          <cell r="C597" t="str">
            <v>TPCAR</v>
          </cell>
          <cell r="D597">
            <v>0.20218961641676558</v>
          </cell>
          <cell r="E597">
            <v>3.5918839732580525</v>
          </cell>
          <cell r="F597">
            <v>3.3922623886511625</v>
          </cell>
          <cell r="G597">
            <v>2.7298984146715792</v>
          </cell>
          <cell r="H597">
            <v>4.9307282365366198E-4</v>
          </cell>
          <cell r="I597">
            <v>3.2087892961245507E-4</v>
          </cell>
        </row>
        <row r="598">
          <cell r="A598" t="str">
            <v>T_C-HY-GSL-S3</v>
          </cell>
          <cell r="B598" t="str">
            <v>VAR_fin</v>
          </cell>
          <cell r="C598" t="str">
            <v>TGSL</v>
          </cell>
          <cell r="D598">
            <v>0.10139720824302294</v>
          </cell>
          <cell r="E598">
            <v>1.4357595210086669</v>
          </cell>
          <cell r="F598">
            <v>1.3572026666750565</v>
          </cell>
          <cell r="G598">
            <v>1.0860608269117604</v>
          </cell>
          <cell r="H598">
            <v>6.8641145087778557E-4</v>
          </cell>
          <cell r="I598">
            <v>4.2595550437292759E-4</v>
          </cell>
        </row>
        <row r="599">
          <cell r="A599" t="str">
            <v>T_C-HY-GSL-S3</v>
          </cell>
          <cell r="B599" t="str">
            <v>VAR_ncap</v>
          </cell>
          <cell r="C599" t="str">
            <v>-</v>
          </cell>
          <cell r="E599">
            <v>0.22401476443957</v>
          </cell>
          <cell r="F599">
            <v>1.88791387249631E-5</v>
          </cell>
          <cell r="G599">
            <v>1.04791583290928E-5</v>
          </cell>
          <cell r="H599">
            <v>1.4624286078116001E-5</v>
          </cell>
          <cell r="I599">
            <v>1.3852666626644199E-5</v>
          </cell>
        </row>
        <row r="600">
          <cell r="A600" t="str">
            <v>T_C-HY-GSL-S3</v>
          </cell>
          <cell r="B600" t="str">
            <v>VAR_cap</v>
          </cell>
          <cell r="C600" t="str">
            <v>-</v>
          </cell>
          <cell r="D600">
            <v>1.424847736615998E-2</v>
          </cell>
          <cell r="E600">
            <v>0.2469670532671244</v>
          </cell>
          <cell r="F600">
            <v>0.2332531840901067</v>
          </cell>
          <cell r="G600">
            <v>0.18770463912315388</v>
          </cell>
          <cell r="H600">
            <v>3.6288777129642764E-5</v>
          </cell>
          <cell r="I600">
            <v>2.4102999205754301E-5</v>
          </cell>
        </row>
        <row r="601">
          <cell r="A601" t="str">
            <v>T_C-HY-DSL-S2</v>
          </cell>
          <cell r="B601" t="str">
            <v>VAR_fout</v>
          </cell>
          <cell r="C601" t="str">
            <v>CO2_T</v>
          </cell>
          <cell r="D601">
            <v>0.20941585079654318</v>
          </cell>
          <cell r="E601">
            <v>49.877877517858316</v>
          </cell>
          <cell r="F601">
            <v>85.514041866874749</v>
          </cell>
          <cell r="G601">
            <v>71.641876899210231</v>
          </cell>
          <cell r="H601">
            <v>35.761111690442419</v>
          </cell>
          <cell r="I601">
            <v>108.71741078344627</v>
          </cell>
        </row>
        <row r="602">
          <cell r="A602" t="str">
            <v>T_C-HY-DSL-S2</v>
          </cell>
          <cell r="B602" t="str">
            <v>VAR_fout</v>
          </cell>
          <cell r="C602" t="str">
            <v>TPCAR</v>
          </cell>
          <cell r="D602">
            <v>3.3486995437087617E-3</v>
          </cell>
          <cell r="E602">
            <v>1.8246401639282985</v>
          </cell>
          <cell r="F602">
            <v>2.7459103395667674</v>
          </cell>
          <cell r="G602">
            <v>2.2833492511853954</v>
          </cell>
          <cell r="H602">
            <v>0.43059825399088991</v>
          </cell>
          <cell r="I602">
            <v>1.3025158077816019</v>
          </cell>
        </row>
        <row r="603">
          <cell r="A603" t="str">
            <v>T_C-HY-DSL-S2</v>
          </cell>
          <cell r="B603" t="str">
            <v>VAR_fin</v>
          </cell>
          <cell r="C603" t="str">
            <v>TDSL</v>
          </cell>
          <cell r="D603">
            <v>2.8569693150960877E-3</v>
          </cell>
          <cell r="E603">
            <v>0.68046217623272032</v>
          </cell>
          <cell r="F603">
            <v>1.166630857665415</v>
          </cell>
          <cell r="G603">
            <v>0.97737894814747983</v>
          </cell>
          <cell r="H603">
            <v>0.48787328363495874</v>
          </cell>
          <cell r="I603">
            <v>1.4831843217386953</v>
          </cell>
        </row>
        <row r="604">
          <cell r="A604" t="str">
            <v>T_C-HY-DSL-S2</v>
          </cell>
          <cell r="B604" t="str">
            <v>VAR_ncap</v>
          </cell>
          <cell r="C604" t="str">
            <v>-</v>
          </cell>
          <cell r="E604">
            <v>0.139781189326767</v>
          </cell>
          <cell r="F604">
            <v>7.8874713086507897E-2</v>
          </cell>
          <cell r="G604">
            <v>4.2504444514287397E-5</v>
          </cell>
          <cell r="H604">
            <v>1.17586955543676E-2</v>
          </cell>
          <cell r="I604">
            <v>0.14537622775880099</v>
          </cell>
        </row>
        <row r="605">
          <cell r="A605" t="str">
            <v>T_C-HY-DSL-S2</v>
          </cell>
          <cell r="B605" t="str">
            <v>VAR_cap</v>
          </cell>
          <cell r="C605" t="str">
            <v>-</v>
          </cell>
          <cell r="D605">
            <v>2.5977706532458167E-4</v>
          </cell>
          <cell r="E605">
            <v>0.13844089916691157</v>
          </cell>
          <cell r="F605">
            <v>0.20834425631505435</v>
          </cell>
          <cell r="G605">
            <v>0.17324691130415817</v>
          </cell>
          <cell r="H605">
            <v>4.2996569473012267E-2</v>
          </cell>
          <cell r="I605">
            <v>0.13738001072956499</v>
          </cell>
        </row>
        <row r="606">
          <cell r="A606" t="str">
            <v>D-T-ELC-Bus_c_S1</v>
          </cell>
          <cell r="B606" t="str">
            <v>VAR_fout</v>
          </cell>
          <cell r="C606" t="str">
            <v>T-ELC-Bus_c_BatSTGin_S1</v>
          </cell>
          <cell r="D606">
            <v>3.9628291441549561E-4</v>
          </cell>
          <cell r="E606">
            <v>5.7210942059883561E-4</v>
          </cell>
          <cell r="F606">
            <v>5.0627486137105068E-4</v>
          </cell>
          <cell r="G606">
            <v>0.145320320366289</v>
          </cell>
          <cell r="H606">
            <v>0.13832550073953351</v>
          </cell>
          <cell r="I606">
            <v>0.11946123243289505</v>
          </cell>
        </row>
        <row r="607">
          <cell r="A607" t="str">
            <v>D-T-ELC-Bus_c_S1</v>
          </cell>
          <cell r="B607" t="str">
            <v>VAR_fin</v>
          </cell>
          <cell r="C607" t="str">
            <v>TELC</v>
          </cell>
          <cell r="D607">
            <v>3.9628291441549561E-4</v>
          </cell>
          <cell r="E607">
            <v>5.7210942059883561E-4</v>
          </cell>
          <cell r="F607">
            <v>5.0627486137105068E-4</v>
          </cell>
          <cell r="G607">
            <v>0.145320320366289</v>
          </cell>
          <cell r="H607">
            <v>0.13832550073953351</v>
          </cell>
          <cell r="I607">
            <v>0.11946123243289505</v>
          </cell>
        </row>
        <row r="608">
          <cell r="A608" t="str">
            <v>D-T-ELC-Bus_c_S1</v>
          </cell>
          <cell r="B608" t="str">
            <v>VAR_ncap</v>
          </cell>
          <cell r="C608" t="str">
            <v>-</v>
          </cell>
          <cell r="D608">
            <v>4.9574053542621898E-5</v>
          </cell>
          <cell r="E608">
            <v>1.37087766148783E-5</v>
          </cell>
          <cell r="F608">
            <v>1.2124376880957801E-5</v>
          </cell>
          <cell r="G608">
            <v>1.8368845520406098E-2</v>
          </cell>
          <cell r="H608">
            <v>1.4143804724471199E-2</v>
          </cell>
          <cell r="I608">
            <v>7.9871332199663095E-3</v>
          </cell>
        </row>
        <row r="609">
          <cell r="A609" t="str">
            <v>D-T-ELC-Bus_c_S1</v>
          </cell>
          <cell r="B609" t="str">
            <v>VAR_cap</v>
          </cell>
          <cell r="C609" t="str">
            <v>-</v>
          </cell>
          <cell r="D609">
            <v>4.9574053542621898E-5</v>
          </cell>
          <cell r="E609">
            <v>6.3282830157500205E-5</v>
          </cell>
          <cell r="F609">
            <v>7.5407207038457997E-5</v>
          </cell>
          <cell r="G609">
            <v>1.8429135497825402E-2</v>
          </cell>
          <cell r="H609">
            <v>1.7466589998931699E-2</v>
          </cell>
          <cell r="I609">
            <v>1.5092480457515199E-2</v>
          </cell>
        </row>
        <row r="610">
          <cell r="A610" t="str">
            <v>T_C-HY-GSL-S4</v>
          </cell>
          <cell r="B610" t="str">
            <v>VAR_fout</v>
          </cell>
          <cell r="C610" t="str">
            <v>CO2_T</v>
          </cell>
          <cell r="D610">
            <v>6.695370241340048</v>
          </cell>
          <cell r="E610">
            <v>9.9926582005752831</v>
          </cell>
          <cell r="F610">
            <v>9.6119244195402711</v>
          </cell>
          <cell r="G610">
            <v>7.9639346299515603</v>
          </cell>
          <cell r="H610">
            <v>6.488091094372353E-2</v>
          </cell>
          <cell r="I610">
            <v>9.8040580548093836E-2</v>
          </cell>
        </row>
        <row r="611">
          <cell r="A611" t="str">
            <v>T_C-HY-GSL-S4</v>
          </cell>
          <cell r="B611" t="str">
            <v>VAR_fout</v>
          </cell>
          <cell r="C611" t="str">
            <v>TPCAR</v>
          </cell>
          <cell r="D611">
            <v>0.104213991266628</v>
          </cell>
          <cell r="E611">
            <v>0.17954475065432271</v>
          </cell>
          <cell r="F611">
            <v>0.17210815508329302</v>
          </cell>
          <cell r="G611">
            <v>0.14414313484759972</v>
          </cell>
          <cell r="H611">
            <v>6.1708863959577653E-4</v>
          </cell>
          <cell r="I611">
            <v>1.0152754068164568E-3</v>
          </cell>
        </row>
        <row r="612">
          <cell r="A612" t="str">
            <v>T_C-HY-GSL-S4</v>
          </cell>
          <cell r="B612" t="str">
            <v>VAR_fin</v>
          </cell>
          <cell r="C612" t="str">
            <v>TGSL</v>
          </cell>
          <cell r="D612">
            <v>9.0723174001897555E-2</v>
          </cell>
          <cell r="E612">
            <v>0.13540187263652148</v>
          </cell>
          <cell r="F612">
            <v>0.13024287831355391</v>
          </cell>
          <cell r="G612">
            <v>0.1079123933597774</v>
          </cell>
          <cell r="H612">
            <v>8.7914513473880097E-4</v>
          </cell>
          <cell r="I612">
            <v>1.328463151058182E-3</v>
          </cell>
        </row>
        <row r="613">
          <cell r="A613" t="str">
            <v>T_C-HY-GSL-S4</v>
          </cell>
          <cell r="B613" t="str">
            <v>VAR_ncap</v>
          </cell>
          <cell r="C613" t="str">
            <v>-</v>
          </cell>
          <cell r="E613">
            <v>5.9744742154103E-5</v>
          </cell>
          <cell r="F613">
            <v>1.7716722636842398E-5</v>
          </cell>
          <cell r="G613">
            <v>1.1289102728737101E-5</v>
          </cell>
          <cell r="H613">
            <v>2.6021099072790099E-5</v>
          </cell>
          <cell r="I613">
            <v>8.7865438956652697E-5</v>
          </cell>
        </row>
        <row r="614">
          <cell r="A614" t="str">
            <v>T_C-HY-GSL-S4</v>
          </cell>
          <cell r="B614" t="str">
            <v>VAR_cap</v>
          </cell>
          <cell r="C614" t="str">
            <v>-</v>
          </cell>
          <cell r="D614">
            <v>8.3201089387841924E-3</v>
          </cell>
          <cell r="E614">
            <v>1.4138033260824528E-2</v>
          </cell>
          <cell r="F614">
            <v>1.3574410388491319E-2</v>
          </cell>
          <cell r="G614">
            <v>1.1362625389455408E-2</v>
          </cell>
          <cell r="H614">
            <v>5.350107068620056E-5</v>
          </cell>
          <cell r="I614">
            <v>9.4810981272645803E-5</v>
          </cell>
        </row>
        <row r="615">
          <cell r="A615" t="str">
            <v>T_C-HY-DSL-S3</v>
          </cell>
          <cell r="B615" t="str">
            <v>VAR_fout</v>
          </cell>
          <cell r="C615" t="str">
            <v>CO2_T</v>
          </cell>
          <cell r="D615">
            <v>2.1795308407669847</v>
          </cell>
          <cell r="E615">
            <v>3.3186389357061499</v>
          </cell>
          <cell r="F615">
            <v>3.1778043574332826</v>
          </cell>
          <cell r="G615">
            <v>2.3911583300885684</v>
          </cell>
          <cell r="H615">
            <v>5.0599898326009446E-2</v>
          </cell>
          <cell r="I615">
            <v>3.1329737781458838E-2</v>
          </cell>
        </row>
        <row r="616">
          <cell r="A616" t="str">
            <v>T_C-HY-DSL-S3</v>
          </cell>
          <cell r="B616" t="str">
            <v>VAR_fout</v>
          </cell>
          <cell r="C616" t="str">
            <v>TPCAR</v>
          </cell>
          <cell r="D616">
            <v>2.6583228925468511E-2</v>
          </cell>
          <cell r="E616">
            <v>5.3737564552743061E-2</v>
          </cell>
          <cell r="F616">
            <v>5.1268001383533372E-2</v>
          </cell>
          <cell r="G616">
            <v>4.0903476304939797E-2</v>
          </cell>
          <cell r="H616">
            <v>4.9072223635110435E-4</v>
          </cell>
          <cell r="I616">
            <v>3.2178877581258658E-4</v>
          </cell>
        </row>
        <row r="617">
          <cell r="A617" t="str">
            <v>T_C-HY-DSL-S3</v>
          </cell>
          <cell r="B617" t="str">
            <v>VAR_fin</v>
          </cell>
          <cell r="C617" t="str">
            <v>TDSL</v>
          </cell>
          <cell r="D617">
            <v>2.9734390733519609E-2</v>
          </cell>
          <cell r="E617">
            <v>4.5274746735418057E-2</v>
          </cell>
          <cell r="F617">
            <v>4.3353401874942507E-2</v>
          </cell>
          <cell r="G617">
            <v>3.262153247051252E-2</v>
          </cell>
          <cell r="H617">
            <v>6.9031239189644487E-4</v>
          </cell>
          <cell r="I617">
            <v>4.27417977918948E-4</v>
          </cell>
        </row>
        <row r="618">
          <cell r="A618" t="str">
            <v>T_C-HY-DSL-S3</v>
          </cell>
          <cell r="B618" t="str">
            <v>VAR_ncap</v>
          </cell>
          <cell r="C618" t="str">
            <v>-</v>
          </cell>
          <cell r="E618">
            <v>2.1212942140221002E-5</v>
          </cell>
          <cell r="F618">
            <v>1.6226726201687299E-5</v>
          </cell>
          <cell r="G618">
            <v>1.05182986862246E-5</v>
          </cell>
          <cell r="H618">
            <v>1.47591706652761E-5</v>
          </cell>
          <cell r="I618">
            <v>1.3870425779248701E-5</v>
          </cell>
        </row>
        <row r="619">
          <cell r="A619" t="str">
            <v>T_C-HY-DSL-S3</v>
          </cell>
          <cell r="B619" t="str">
            <v>VAR_cap</v>
          </cell>
          <cell r="C619" t="str">
            <v>-</v>
          </cell>
          <cell r="D619">
            <v>1.8561673006958622E-3</v>
          </cell>
          <cell r="E619">
            <v>3.6951651905048682E-3</v>
          </cell>
          <cell r="F619">
            <v>3.5337094791357015E-3</v>
          </cell>
          <cell r="G619">
            <v>2.816521842161536E-3</v>
          </cell>
          <cell r="H619">
            <v>3.6100102392935808E-5</v>
          </cell>
          <cell r="I619">
            <v>2.4153626885842201E-5</v>
          </cell>
        </row>
        <row r="620">
          <cell r="A620" t="str">
            <v>D-T-ELC-Bus_c_S2</v>
          </cell>
          <cell r="B620" t="str">
            <v>VAR_fout</v>
          </cell>
          <cell r="C620" t="str">
            <v>T-ELC-Bus_c_BatSTGin_S2</v>
          </cell>
          <cell r="D620">
            <v>9.4746260838480926E-4</v>
          </cell>
          <cell r="E620">
            <v>1.9886719081493843E-3</v>
          </cell>
          <cell r="F620">
            <v>2.1243059634216835E-3</v>
          </cell>
          <cell r="G620">
            <v>7.1650443791911184E-2</v>
          </cell>
          <cell r="H620">
            <v>6.6613189639533735E-2</v>
          </cell>
          <cell r="I620">
            <v>5.4989879009504569E-2</v>
          </cell>
        </row>
        <row r="621">
          <cell r="A621" t="str">
            <v>D-T-ELC-Bus_c_S2</v>
          </cell>
          <cell r="B621" t="str">
            <v>VAR_fin</v>
          </cell>
          <cell r="C621" t="str">
            <v>TELC</v>
          </cell>
          <cell r="D621">
            <v>9.4746260838480926E-4</v>
          </cell>
          <cell r="E621">
            <v>1.9886719081493843E-3</v>
          </cell>
          <cell r="F621">
            <v>2.1243059634216835E-3</v>
          </cell>
          <cell r="G621">
            <v>7.1650443791911184E-2</v>
          </cell>
          <cell r="H621">
            <v>6.6613189639533735E-2</v>
          </cell>
          <cell r="I621">
            <v>5.4989879009504569E-2</v>
          </cell>
        </row>
        <row r="622">
          <cell r="A622" t="str">
            <v>D-T-ELC-Bus_c_S2</v>
          </cell>
          <cell r="B622" t="str">
            <v>VAR_ncap</v>
          </cell>
          <cell r="C622" t="str">
            <v>-</v>
          </cell>
          <cell r="D622">
            <v>1.2835783466913199E-4</v>
          </cell>
          <cell r="E622">
            <v>8.6668129699440604E-5</v>
          </cell>
          <cell r="F622">
            <v>3.7792686908575302E-5</v>
          </cell>
          <cell r="G622">
            <v>8.8463824378827594E-3</v>
          </cell>
          <cell r="H622">
            <v>6.5607587621225498E-3</v>
          </cell>
          <cell r="I622">
            <v>3.5830473319279298E-3</v>
          </cell>
        </row>
        <row r="623">
          <cell r="A623" t="str">
            <v>D-T-ELC-Bus_c_S2</v>
          </cell>
          <cell r="B623" t="str">
            <v>VAR_cap</v>
          </cell>
          <cell r="C623" t="str">
            <v>-</v>
          </cell>
          <cell r="D623">
            <v>1.2835783466913199E-4</v>
          </cell>
          <cell r="E623">
            <v>2.1502596436857299E-4</v>
          </cell>
          <cell r="F623">
            <v>2.5281865127714802E-4</v>
          </cell>
          <cell r="G623">
            <v>9.0532791347335603E-3</v>
          </cell>
          <cell r="H623">
            <v>8.3539586724563492E-3</v>
          </cell>
          <cell r="I623">
            <v>6.91301767831077E-3</v>
          </cell>
        </row>
        <row r="624">
          <cell r="A624" t="str">
            <v>T_C-HY-DSL-S4</v>
          </cell>
          <cell r="B624" t="str">
            <v>VAR_fout</v>
          </cell>
          <cell r="C624" t="str">
            <v>CO2_T</v>
          </cell>
          <cell r="D624">
            <v>2.5950334718783048</v>
          </cell>
          <cell r="E624">
            <v>5.2199350878656832</v>
          </cell>
          <cell r="F624">
            <v>4.9497294028882433</v>
          </cell>
          <cell r="G624">
            <v>4.0697288893141677</v>
          </cell>
          <cell r="H624">
            <v>6.4653751237782248E-2</v>
          </cell>
          <cell r="I624">
            <v>9.9621694611251768E-2</v>
          </cell>
        </row>
        <row r="625">
          <cell r="A625" t="str">
            <v>T_C-HY-DSL-S4</v>
          </cell>
          <cell r="B625" t="str">
            <v>VAR_fout</v>
          </cell>
          <cell r="C625" t="str">
            <v>TPCAR</v>
          </cell>
          <cell r="D625">
            <v>4.7629467763741787E-2</v>
          </cell>
          <cell r="E625">
            <v>0.11235791809328789</v>
          </cell>
          <cell r="F625">
            <v>0.10715362375630541</v>
          </cell>
          <cell r="G625">
            <v>8.9969348447053829E-2</v>
          </cell>
          <cell r="H625">
            <v>6.1908169134612917E-4</v>
          </cell>
          <cell r="I625">
            <v>1.0385222610837356E-3</v>
          </cell>
        </row>
        <row r="626">
          <cell r="A626" t="str">
            <v>T_C-HY-DSL-S4</v>
          </cell>
          <cell r="B626" t="str">
            <v>VAR_fin</v>
          </cell>
          <cell r="C626" t="str">
            <v>TDSL</v>
          </cell>
          <cell r="D626">
            <v>3.5402912303933269E-2</v>
          </cell>
          <cell r="E626">
            <v>7.1213302699395534E-2</v>
          </cell>
          <cell r="F626">
            <v>6.7527004132172622E-2</v>
          </cell>
          <cell r="G626">
            <v>5.5521540099783884E-2</v>
          </cell>
          <cell r="H626">
            <v>8.820429909656511E-4</v>
          </cell>
          <cell r="I626">
            <v>1.3590954244372679E-3</v>
          </cell>
        </row>
        <row r="627">
          <cell r="A627" t="str">
            <v>T_C-HY-DSL-S4</v>
          </cell>
          <cell r="B627" t="str">
            <v>VAR_ncap</v>
          </cell>
          <cell r="C627" t="str">
            <v>-</v>
          </cell>
          <cell r="E627">
            <v>7.8751387674401606E-5</v>
          </cell>
          <cell r="F627">
            <v>1.8015014147370198E-5</v>
          </cell>
          <cell r="G627">
            <v>1.12354989594542E-5</v>
          </cell>
          <cell r="H627">
            <v>2.6377828729488301E-5</v>
          </cell>
          <cell r="I627">
            <v>9.0072919031158806E-5</v>
          </cell>
        </row>
        <row r="628">
          <cell r="A628" t="str">
            <v>T_C-HY-DSL-S4</v>
          </cell>
          <cell r="B628" t="str">
            <v>VAR_cap</v>
          </cell>
          <cell r="C628" t="str">
            <v>-</v>
          </cell>
          <cell r="D628">
            <v>3.7727650740163963E-3</v>
          </cell>
          <cell r="E628">
            <v>8.8474479270749581E-3</v>
          </cell>
          <cell r="F628">
            <v>8.4526846932874797E-3</v>
          </cell>
          <cell r="G628">
            <v>7.0927558360693865E-3</v>
          </cell>
          <cell r="H628">
            <v>5.362043714734687E-5</v>
          </cell>
          <cell r="I628">
            <v>9.6808823458374797E-5</v>
          </cell>
        </row>
        <row r="629">
          <cell r="A629" t="str">
            <v>D-T-ELC-Bus_c_S3</v>
          </cell>
          <cell r="B629" t="str">
            <v>VAR_fout</v>
          </cell>
          <cell r="C629" t="str">
            <v>T-ELC-Bus_c_BatSTGin_S3</v>
          </cell>
          <cell r="D629">
            <v>3.1162916707773544E-4</v>
          </cell>
          <cell r="E629">
            <v>6.5698308081064906E-4</v>
          </cell>
          <cell r="F629">
            <v>7.1122584478344481E-4</v>
          </cell>
          <cell r="G629">
            <v>6.4997207205491864E-4</v>
          </cell>
          <cell r="H629">
            <v>9.029867654328106E-4</v>
          </cell>
          <cell r="I629">
            <v>5.2298289100949228E-4</v>
          </cell>
        </row>
        <row r="630">
          <cell r="A630" t="str">
            <v>D-T-ELC-Bus_c_S3</v>
          </cell>
          <cell r="B630" t="str">
            <v>VAR_fin</v>
          </cell>
          <cell r="C630" t="str">
            <v>TELC</v>
          </cell>
          <cell r="D630">
            <v>3.1162916707773544E-4</v>
          </cell>
          <cell r="E630">
            <v>6.5698308081064906E-4</v>
          </cell>
          <cell r="F630">
            <v>7.1122584478344481E-4</v>
          </cell>
          <cell r="G630">
            <v>6.4997207205491864E-4</v>
          </cell>
          <cell r="H630">
            <v>9.029867654328106E-4</v>
          </cell>
          <cell r="I630">
            <v>5.2298289100949228E-4</v>
          </cell>
        </row>
        <row r="631">
          <cell r="A631" t="str">
            <v>D-T-ELC-Bus_c_S3</v>
          </cell>
          <cell r="B631" t="str">
            <v>VAR_ncap</v>
          </cell>
          <cell r="C631" t="str">
            <v>-</v>
          </cell>
          <cell r="D631">
            <v>4.6189509208177998E-5</v>
          </cell>
          <cell r="E631">
            <v>2.6406223759463501E-5</v>
          </cell>
          <cell r="F631">
            <v>1.1344964133723601E-5</v>
          </cell>
          <cell r="G631">
            <v>4.5404368199765498E-5</v>
          </cell>
          <cell r="H631">
            <v>7.1660919590770002E-5</v>
          </cell>
          <cell r="I631">
            <v>4.44900982553538E-5</v>
          </cell>
        </row>
        <row r="632">
          <cell r="A632" t="str">
            <v>D-T-ELC-Bus_c_S3</v>
          </cell>
          <cell r="B632" t="str">
            <v>VAR_cap</v>
          </cell>
          <cell r="C632" t="str">
            <v>-</v>
          </cell>
          <cell r="D632">
            <v>4.6189509208177998E-5</v>
          </cell>
          <cell r="E632">
            <v>7.2595732967641502E-5</v>
          </cell>
          <cell r="F632">
            <v>8.3940697101365103E-5</v>
          </cell>
          <cell r="G632">
            <v>9.3171388303690694E-5</v>
          </cell>
          <cell r="H632">
            <v>1.2378766565435901E-4</v>
          </cell>
          <cell r="I632">
            <v>6.9035485776430494E-5</v>
          </cell>
        </row>
        <row r="633">
          <cell r="A633" t="str">
            <v>D-T-ELC-Bus_c_S4</v>
          </cell>
          <cell r="B633" t="str">
            <v>VAR_fout</v>
          </cell>
          <cell r="C633" t="str">
            <v>T-ELC-Bus_c_BatSTGin_S4</v>
          </cell>
          <cell r="D633">
            <v>1.0276193984519613E-6</v>
          </cell>
          <cell r="E633">
            <v>2.7193253404023858E-5</v>
          </cell>
          <cell r="F633">
            <v>5.9137609733920499E-5</v>
          </cell>
          <cell r="G633">
            <v>1.7528059069178375E-4</v>
          </cell>
          <cell r="H633">
            <v>2.1839053452095248E-4</v>
          </cell>
          <cell r="I633">
            <v>1.2018950022321961E-4</v>
          </cell>
        </row>
        <row r="634">
          <cell r="A634" t="str">
            <v>D-T-ELC-Bus_c_S4</v>
          </cell>
          <cell r="B634" t="str">
            <v>VAR_fin</v>
          </cell>
          <cell r="C634" t="str">
            <v>TELC</v>
          </cell>
          <cell r="D634">
            <v>1.0276193984519613E-6</v>
          </cell>
          <cell r="E634">
            <v>2.7193253404023858E-5</v>
          </cell>
          <cell r="F634">
            <v>5.9137609733920499E-5</v>
          </cell>
          <cell r="G634">
            <v>1.7528059069178375E-4</v>
          </cell>
          <cell r="H634">
            <v>2.1839053452095248E-4</v>
          </cell>
          <cell r="I634">
            <v>1.2018950022321961E-4</v>
          </cell>
        </row>
        <row r="635">
          <cell r="A635" t="str">
            <v>D-T-ELC-Bus_c_S4</v>
          </cell>
          <cell r="B635" t="str">
            <v>VAR_ncap</v>
          </cell>
          <cell r="C635" t="str">
            <v>-</v>
          </cell>
          <cell r="D635">
            <v>4.03031761040975E-6</v>
          </cell>
          <cell r="E635">
            <v>3.4664910092801799E-6</v>
          </cell>
          <cell r="F635">
            <v>4.3908293893608201E-6</v>
          </cell>
          <cell r="G635">
            <v>2.8560967003796899E-5</v>
          </cell>
          <cell r="H635">
            <v>3.1364522607394202E-5</v>
          </cell>
          <cell r="I635">
            <v>1.5640600174343701E-5</v>
          </cell>
        </row>
        <row r="636">
          <cell r="A636" t="str">
            <v>D-T-ELC-Bus_c_S4</v>
          </cell>
          <cell r="B636" t="str">
            <v>VAR_cap</v>
          </cell>
          <cell r="C636" t="str">
            <v>-</v>
          </cell>
          <cell r="D636">
            <v>4.03031761040975E-6</v>
          </cell>
          <cell r="E636">
            <v>7.4968086196899303E-6</v>
          </cell>
          <cell r="F636">
            <v>1.18876380090507E-5</v>
          </cell>
          <cell r="G636">
            <v>3.3445287087876999E-5</v>
          </cell>
          <cell r="H636">
            <v>4.9061478471029097E-5</v>
          </cell>
          <cell r="I636">
            <v>2.11447174756514E-5</v>
          </cell>
        </row>
        <row r="637">
          <cell r="A637" t="str">
            <v>D-TH2O</v>
          </cell>
          <cell r="B637" t="str">
            <v>VAR_fout</v>
          </cell>
          <cell r="C637" t="str">
            <v>TH2O</v>
          </cell>
          <cell r="D637">
            <v>3.4758759493762619E-3</v>
          </cell>
          <cell r="E637">
            <v>3.1888976779476507E-3</v>
          </cell>
          <cell r="F637">
            <v>3.260677393197096E-3</v>
          </cell>
          <cell r="G637">
            <v>2.8196191859598241E-3</v>
          </cell>
          <cell r="H637">
            <v>3.2625602831307713E-3</v>
          </cell>
          <cell r="I637">
            <v>3.5399610807388339E-3</v>
          </cell>
        </row>
        <row r="638">
          <cell r="A638" t="str">
            <v>D-TH2O</v>
          </cell>
          <cell r="B638" t="str">
            <v>VAR_fin</v>
          </cell>
          <cell r="C638" t="str">
            <v>H2</v>
          </cell>
          <cell r="D638">
            <v>3.4758759493762619E-3</v>
          </cell>
          <cell r="E638">
            <v>3.1888976779476507E-3</v>
          </cell>
          <cell r="F638">
            <v>3.260677393197096E-3</v>
          </cell>
          <cell r="G638">
            <v>2.8196191859598241E-3</v>
          </cell>
          <cell r="H638">
            <v>3.2625602831307713E-3</v>
          </cell>
          <cell r="I638">
            <v>3.5399610807388339E-3</v>
          </cell>
        </row>
        <row r="639">
          <cell r="A639" t="str">
            <v>D-TH2O</v>
          </cell>
          <cell r="B639" t="str">
            <v>VAR_ncap</v>
          </cell>
          <cell r="C639" t="str">
            <v>-</v>
          </cell>
          <cell r="D639">
            <v>6.1570579142396101E-4</v>
          </cell>
          <cell r="E639">
            <v>3.6252025457224E-5</v>
          </cell>
          <cell r="F639">
            <v>9.3962027613998505E-7</v>
          </cell>
          <cell r="G639">
            <v>7.3792784569765498E-6</v>
          </cell>
          <cell r="H639">
            <v>5.5089857570046599E-5</v>
          </cell>
          <cell r="I639">
            <v>1.1631061804633899E-5</v>
          </cell>
        </row>
        <row r="640">
          <cell r="A640" t="str">
            <v>D-TH2O</v>
          </cell>
          <cell r="B640" t="str">
            <v>VAR_cap</v>
          </cell>
          <cell r="C640" t="str">
            <v>-</v>
          </cell>
          <cell r="D640">
            <v>6.1570579142396101E-4</v>
          </cell>
          <cell r="E640">
            <v>6.5195781688118497E-4</v>
          </cell>
          <cell r="F640">
            <v>6.5289743715732504E-4</v>
          </cell>
          <cell r="G640">
            <v>6.6027671561430198E-4</v>
          </cell>
          <cell r="H640">
            <v>7.2200534887339205E-4</v>
          </cell>
          <cell r="I640">
            <v>7.3363641067802595E-4</v>
          </cell>
        </row>
        <row r="641">
          <cell r="A641" t="str">
            <v>TFHGV-HYBDSL</v>
          </cell>
          <cell r="B641" t="str">
            <v>VAR_fout</v>
          </cell>
          <cell r="C641" t="str">
            <v>CO2_T</v>
          </cell>
          <cell r="E641">
            <v>395.15830225592498</v>
          </cell>
          <cell r="F641">
            <v>562.56751239741504</v>
          </cell>
          <cell r="G641">
            <v>845.47703190017205</v>
          </cell>
          <cell r="H641">
            <v>1125.994570473832</v>
          </cell>
          <cell r="I641">
            <v>1217.4706141116751</v>
          </cell>
        </row>
        <row r="642">
          <cell r="A642" t="str">
            <v>TFHGV-HYBDSL</v>
          </cell>
          <cell r="B642" t="str">
            <v>VAR_fout</v>
          </cell>
          <cell r="C642" t="str">
            <v>TFHGV</v>
          </cell>
          <cell r="E642">
            <v>0.88124534447033098</v>
          </cell>
          <cell r="F642">
            <v>1.2545858164189518</v>
          </cell>
          <cell r="G642">
            <v>1.8855043509526781</v>
          </cell>
          <cell r="H642">
            <v>2.5110885117789725</v>
          </cell>
          <cell r="I642">
            <v>2.7150898882556866</v>
          </cell>
        </row>
        <row r="643">
          <cell r="A643" t="str">
            <v>TFHGV-HYBDSL</v>
          </cell>
          <cell r="B643" t="str">
            <v>VAR_fin</v>
          </cell>
          <cell r="C643" t="str">
            <v>TDSL</v>
          </cell>
          <cell r="E643">
            <v>5.3909727456469962</v>
          </cell>
          <cell r="F643">
            <v>7.6748637434845124</v>
          </cell>
          <cell r="G643">
            <v>11.534475196455285</v>
          </cell>
          <cell r="H643">
            <v>15.361453894595265</v>
          </cell>
          <cell r="I643">
            <v>16.609421747771787</v>
          </cell>
        </row>
        <row r="644">
          <cell r="A644" t="str">
            <v>TFHGV-HYBDSL</v>
          </cell>
          <cell r="B644" t="str">
            <v>VAR_ncap</v>
          </cell>
          <cell r="C644" t="str">
            <v>-</v>
          </cell>
          <cell r="E644">
            <v>1.6578229486146699E-2</v>
          </cell>
          <cell r="F644">
            <v>7.0238205291180697E-3</v>
          </cell>
          <cell r="G644">
            <v>2.5299151356871601E-2</v>
          </cell>
          <cell r="H644">
            <v>2.14719280265924E-2</v>
          </cell>
          <cell r="I644">
            <v>4.9582963176022801E-2</v>
          </cell>
        </row>
        <row r="645">
          <cell r="A645" t="str">
            <v>TFHGV-HYBDSL</v>
          </cell>
          <cell r="B645" t="str">
            <v>VAR_cap</v>
          </cell>
          <cell r="C645" t="str">
            <v>-</v>
          </cell>
          <cell r="E645">
            <v>1.6578229486146699E-2</v>
          </cell>
          <cell r="F645">
            <v>2.3602050015264699E-2</v>
          </cell>
          <cell r="G645">
            <v>3.5470953607399901E-2</v>
          </cell>
          <cell r="H645">
            <v>4.9338552436466801E-2</v>
          </cell>
          <cell r="I645">
            <v>5.3351042544644803E-2</v>
          </cell>
        </row>
        <row r="646">
          <cell r="A646" t="str">
            <v>D-TKER</v>
          </cell>
          <cell r="B646" t="str">
            <v>VAR_fout</v>
          </cell>
          <cell r="C646" t="str">
            <v>CO2</v>
          </cell>
          <cell r="D646">
            <v>80.763254672403804</v>
          </cell>
          <cell r="E646">
            <v>102.299643522715</v>
          </cell>
          <cell r="F646">
            <v>134.604226798182</v>
          </cell>
          <cell r="G646">
            <v>144.739714223059</v>
          </cell>
          <cell r="H646">
            <v>25.313774663115701</v>
          </cell>
          <cell r="I646">
            <v>7.7284417032708703E-4</v>
          </cell>
        </row>
        <row r="647">
          <cell r="A647" t="str">
            <v>D-TKER</v>
          </cell>
          <cell r="B647" t="str">
            <v>VAR_fout</v>
          </cell>
          <cell r="C647" t="str">
            <v>TKER</v>
          </cell>
          <cell r="D647">
            <v>1.0930817228491501</v>
          </cell>
          <cell r="E647">
            <v>1.3845636984571901</v>
          </cell>
          <cell r="F647">
            <v>1.82178666186924</v>
          </cell>
          <cell r="G647">
            <v>1.9589643437400299</v>
          </cell>
          <cell r="H647">
            <v>0.34260660411483401</v>
          </cell>
          <cell r="I647">
            <v>1.0459977629947E-5</v>
          </cell>
        </row>
        <row r="648">
          <cell r="A648" t="str">
            <v>D-TKER</v>
          </cell>
          <cell r="B648" t="str">
            <v>VAR_fin</v>
          </cell>
          <cell r="C648" t="str">
            <v>KER</v>
          </cell>
          <cell r="D648">
            <v>1.1093853663791744</v>
          </cell>
          <cell r="E648">
            <v>1.4052148835537817</v>
          </cell>
          <cell r="F648">
            <v>1.8489591593156731</v>
          </cell>
          <cell r="G648">
            <v>1.9881828876793761</v>
          </cell>
          <cell r="H648">
            <v>0.34771668493290808</v>
          </cell>
          <cell r="I648">
            <v>1.0615991350646792E-5</v>
          </cell>
        </row>
        <row r="649">
          <cell r="A649" t="str">
            <v>T_B_u-BEVELC-S1</v>
          </cell>
          <cell r="B649" t="str">
            <v>VAR_fout</v>
          </cell>
          <cell r="C649" t="str">
            <v>TPBSu</v>
          </cell>
          <cell r="D649">
            <v>1.3545671409479031E-7</v>
          </cell>
          <cell r="E649">
            <v>2.9164284046832671E-4</v>
          </cell>
          <cell r="F649">
            <v>7.1078260163513632E-4</v>
          </cell>
          <cell r="G649">
            <v>0.10982119367994876</v>
          </cell>
          <cell r="H649">
            <v>0.11945459477256738</v>
          </cell>
          <cell r="I649">
            <v>0.12780377331978351</v>
          </cell>
        </row>
        <row r="650">
          <cell r="A650" t="str">
            <v>T_B_u-BEVELC-S1</v>
          </cell>
          <cell r="B650" t="str">
            <v>VAR_fin</v>
          </cell>
          <cell r="C650" t="str">
            <v>T-ELC-Bus_u_BatSTGout_S1</v>
          </cell>
          <cell r="D650">
            <v>3.5769511574878623E-7</v>
          </cell>
          <cell r="E650">
            <v>7.4319851930034473E-4</v>
          </cell>
          <cell r="F650">
            <v>1.757678411550456E-3</v>
          </cell>
          <cell r="G650">
            <v>0.24550853311286275</v>
          </cell>
          <cell r="H650">
            <v>0.252945243484344</v>
          </cell>
          <cell r="I650">
            <v>0.24058963121485949</v>
          </cell>
        </row>
        <row r="651">
          <cell r="A651" t="str">
            <v>T_B_u-BEVELC-S1</v>
          </cell>
          <cell r="B651" t="str">
            <v>VAR_ncap</v>
          </cell>
          <cell r="C651" t="str">
            <v>-</v>
          </cell>
          <cell r="E651">
            <v>5.5387824862638902E-6</v>
          </cell>
          <cell r="F651">
            <v>8.0420811482890808E-6</v>
          </cell>
          <cell r="G651">
            <v>2.3964927968594301E-3</v>
          </cell>
          <cell r="H651">
            <v>1.1700170127005999E-4</v>
          </cell>
          <cell r="I651">
            <v>2.4722756732369201E-3</v>
          </cell>
        </row>
        <row r="652">
          <cell r="A652" t="str">
            <v>T_B_u-BEVELC-S1</v>
          </cell>
          <cell r="B652" t="str">
            <v>VAR_cap</v>
          </cell>
          <cell r="C652" t="str">
            <v>-</v>
          </cell>
          <cell r="D652">
            <v>3.02390998593531E-8</v>
          </cell>
          <cell r="E652">
            <v>5.5802733442104441E-6</v>
          </cell>
          <cell r="F652">
            <v>1.3611302866024758E-5</v>
          </cell>
          <cell r="G652">
            <v>2.3981821936245313E-3</v>
          </cell>
          <cell r="H652">
            <v>2.6140171206501402E-3</v>
          </cell>
          <cell r="I652">
            <v>2.9690740920723961E-3</v>
          </cell>
        </row>
        <row r="653">
          <cell r="A653" t="str">
            <v>TPSHPH2OEXT</v>
          </cell>
          <cell r="B653" t="str">
            <v>VAR_fout</v>
          </cell>
          <cell r="C653" t="str">
            <v>TPSHP</v>
          </cell>
          <cell r="G653">
            <v>1.8049762990521601E-6</v>
          </cell>
          <cell r="H653">
            <v>1.62181584763249E-5</v>
          </cell>
          <cell r="I653">
            <v>1.63871281084358E-5</v>
          </cell>
        </row>
        <row r="654">
          <cell r="A654" t="str">
            <v>TPSHPH2OEXT</v>
          </cell>
          <cell r="B654" t="str">
            <v>VAR_fin</v>
          </cell>
          <cell r="C654" t="str">
            <v>TH2O</v>
          </cell>
          <cell r="G654">
            <v>1.0064110273502976E-6</v>
          </cell>
          <cell r="H654">
            <v>9.0428519989205461E-6</v>
          </cell>
          <cell r="I654">
            <v>9.1370653695520709E-6</v>
          </cell>
        </row>
        <row r="655">
          <cell r="A655" t="str">
            <v>TPSHPH2OEXT</v>
          </cell>
          <cell r="B655" t="str">
            <v>VAR_ncap</v>
          </cell>
          <cell r="C655" t="str">
            <v>-</v>
          </cell>
          <cell r="G655">
            <v>8.8519463098295496E-7</v>
          </cell>
          <cell r="H655">
            <v>2.7659845772288199E-7</v>
          </cell>
          <cell r="I655">
            <v>1.6253290953347599E-7</v>
          </cell>
        </row>
        <row r="656">
          <cell r="A656" t="str">
            <v>TPSHPH2OEXT</v>
          </cell>
          <cell r="B656" t="str">
            <v>VAR_cap</v>
          </cell>
          <cell r="C656" t="str">
            <v>-</v>
          </cell>
          <cell r="G656">
            <v>8.8519463098295496E-7</v>
          </cell>
          <cell r="H656">
            <v>-9.952637130238029E-21</v>
          </cell>
          <cell r="I656">
            <v>6.4715008795309949E-8</v>
          </cell>
        </row>
        <row r="657">
          <cell r="A657" t="str">
            <v>T_B_u-BEVELC-S2</v>
          </cell>
          <cell r="B657" t="str">
            <v>VAR_fout</v>
          </cell>
          <cell r="C657" t="str">
            <v>TPBSu</v>
          </cell>
          <cell r="D657">
            <v>3.7189720741024154E-4</v>
          </cell>
          <cell r="E657">
            <v>6.504147913803241E-4</v>
          </cell>
          <cell r="F657">
            <v>8.6937910995857001E-4</v>
          </cell>
          <cell r="G657">
            <v>3.9614514543744303E-2</v>
          </cell>
          <cell r="H657">
            <v>4.3083127293368467E-2</v>
          </cell>
          <cell r="I657">
            <v>4.6103494158951173E-2</v>
          </cell>
        </row>
        <row r="658">
          <cell r="A658" t="str">
            <v>T_B_u-BEVELC-S2</v>
          </cell>
          <cell r="B658" t="str">
            <v>VAR_fin</v>
          </cell>
          <cell r="C658" t="str">
            <v>T-ELC-Bus_u_BatSTGout_S2</v>
          </cell>
          <cell r="D658">
            <v>1.351465421449766E-3</v>
          </cell>
          <cell r="E658">
            <v>2.3444270134936628E-3</v>
          </cell>
          <cell r="F658">
            <v>3.0745465861730078E-3</v>
          </cell>
          <cell r="G658">
            <v>0.12223262561597881</v>
          </cell>
          <cell r="H658">
            <v>0.12545846996314466</v>
          </cell>
          <cell r="I658">
            <v>0.12065967927542136</v>
          </cell>
        </row>
        <row r="659">
          <cell r="A659" t="str">
            <v>T_B_u-BEVELC-S2</v>
          </cell>
          <cell r="B659" t="str">
            <v>VAR_ncap</v>
          </cell>
          <cell r="C659" t="str">
            <v>-</v>
          </cell>
          <cell r="E659">
            <v>1.4012300164235599E-6</v>
          </cell>
          <cell r="F659">
            <v>4.1806967764371399E-6</v>
          </cell>
          <cell r="G659">
            <v>7.4128220149344802E-4</v>
          </cell>
          <cell r="H659">
            <v>1.021984748695E-4</v>
          </cell>
          <cell r="I659">
            <v>6.9371383206533004E-4</v>
          </cell>
        </row>
        <row r="660">
          <cell r="A660" t="str">
            <v>T_B_u-BEVELC-S2</v>
          </cell>
          <cell r="B660" t="str">
            <v>VAR_cap</v>
          </cell>
          <cell r="C660" t="str">
            <v>-</v>
          </cell>
          <cell r="D660">
            <v>7.9226441631504902E-6</v>
          </cell>
          <cell r="E660">
            <v>1.227183479842076E-5</v>
          </cell>
          <cell r="F660">
            <v>1.64525315748579E-5</v>
          </cell>
          <cell r="G660">
            <v>7.4712806208401177E-4</v>
          </cell>
          <cell r="H660">
            <v>8.1263487653383695E-4</v>
          </cell>
          <cell r="I660">
            <v>8.6953512769443505E-4</v>
          </cell>
        </row>
        <row r="661">
          <cell r="A661" t="str">
            <v>TFHGV-ICEDSL</v>
          </cell>
          <cell r="B661" t="str">
            <v>VAR_fout</v>
          </cell>
          <cell r="C661" t="str">
            <v>CO2_T</v>
          </cell>
          <cell r="D661">
            <v>381.06405134734979</v>
          </cell>
          <cell r="E661">
            <v>0.14528518115388375</v>
          </cell>
          <cell r="F661">
            <v>0.21819879858323016</v>
          </cell>
          <cell r="G661">
            <v>0.1768276744159909</v>
          </cell>
          <cell r="H661">
            <v>0.1371379861562613</v>
          </cell>
          <cell r="I661">
            <v>4.24005342864913E-2</v>
          </cell>
        </row>
        <row r="662">
          <cell r="A662" t="str">
            <v>TFHGV-ICEDSL</v>
          </cell>
          <cell r="B662" t="str">
            <v>VAR_fout</v>
          </cell>
          <cell r="C662" t="str">
            <v>TFHGV</v>
          </cell>
          <cell r="D662">
            <v>0.61710289658979856</v>
          </cell>
          <cell r="E662">
            <v>2.3527778546581299E-4</v>
          </cell>
          <cell r="F662">
            <v>3.5335558461112142E-4</v>
          </cell>
          <cell r="G662">
            <v>2.8635834236664671E-4</v>
          </cell>
          <cell r="H662">
            <v>2.2208405172383905E-4</v>
          </cell>
          <cell r="I662">
            <v>6.8664289986510192E-5</v>
          </cell>
        </row>
        <row r="663">
          <cell r="A663" t="str">
            <v>TFHGV-ICEDSL</v>
          </cell>
          <cell r="B663" t="str">
            <v>VAR_fin</v>
          </cell>
          <cell r="C663" t="str">
            <v>TDSL</v>
          </cell>
          <cell r="D663">
            <v>5.1986910142885394</v>
          </cell>
          <cell r="E663">
            <v>1.9820624986887302E-3</v>
          </cell>
          <cell r="F663">
            <v>2.9767912494301531E-3</v>
          </cell>
          <cell r="G663">
            <v>2.4123830070394395E-3</v>
          </cell>
          <cell r="H663">
            <v>1.8709138629776452E-3</v>
          </cell>
          <cell r="I663">
            <v>5.784520366506321E-4</v>
          </cell>
        </row>
        <row r="664">
          <cell r="A664" t="str">
            <v>TFHGV-ICEDSL</v>
          </cell>
          <cell r="B664" t="str">
            <v>VAR_ncap</v>
          </cell>
          <cell r="C664" t="str">
            <v>-</v>
          </cell>
          <cell r="E664">
            <v>2.3844316945754699E-7</v>
          </cell>
          <cell r="F664">
            <v>3.0256966682090501E-6</v>
          </cell>
          <cell r="G664">
            <v>2.6418593403237698E-6</v>
          </cell>
          <cell r="H664">
            <v>3.0793536889175601E-6</v>
          </cell>
          <cell r="I664">
            <v>1.04138397095262E-6</v>
          </cell>
        </row>
        <row r="665">
          <cell r="A665" t="str">
            <v>TFHGV-ICEDSL</v>
          </cell>
          <cell r="B665" t="str">
            <v>VAR_cap</v>
          </cell>
          <cell r="C665" t="str">
            <v>-</v>
          </cell>
          <cell r="D665">
            <v>1.1609976486997417E-2</v>
          </cell>
          <cell r="E665">
            <v>4.4574604688568664E-6</v>
          </cell>
          <cell r="F665">
            <v>7.1974924780674604E-6</v>
          </cell>
          <cell r="G665">
            <v>5.7101928830755305E-6</v>
          </cell>
          <cell r="H665">
            <v>5.2847769528958797E-6</v>
          </cell>
          <cell r="I665">
            <v>1.5817755505783499E-6</v>
          </cell>
        </row>
        <row r="666">
          <cell r="A666" t="str">
            <v>D-T-ELC-Bus_u_S1</v>
          </cell>
          <cell r="B666" t="str">
            <v>VAR_fout</v>
          </cell>
          <cell r="C666" t="str">
            <v>T-ELC-Bus_u_BatSTGin_S1</v>
          </cell>
          <cell r="D666">
            <v>5.9725640862623199E-6</v>
          </cell>
          <cell r="E666">
            <v>7.524376338625936E-4</v>
          </cell>
          <cell r="F666">
            <v>1.7692907526318132E-3</v>
          </cell>
          <cell r="G666">
            <v>0.24559294418580621</v>
          </cell>
          <cell r="H666">
            <v>0.25304601386792119</v>
          </cell>
          <cell r="I666">
            <v>0.24067633279841907</v>
          </cell>
        </row>
        <row r="667">
          <cell r="A667" t="str">
            <v>D-T-ELC-Bus_u_S1</v>
          </cell>
          <cell r="B667" t="str">
            <v>VAR_fin</v>
          </cell>
          <cell r="C667" t="str">
            <v>TELC</v>
          </cell>
          <cell r="D667">
            <v>5.9725640862623199E-6</v>
          </cell>
          <cell r="E667">
            <v>7.524376338625936E-4</v>
          </cell>
          <cell r="F667">
            <v>1.7692907526318132E-3</v>
          </cell>
          <cell r="G667">
            <v>0.24559294418580621</v>
          </cell>
          <cell r="H667">
            <v>0.25304601386792119</v>
          </cell>
          <cell r="I667">
            <v>0.24067633279841907</v>
          </cell>
        </row>
        <row r="668">
          <cell r="A668" t="str">
            <v>D-T-ELC-Bus_u_S1</v>
          </cell>
          <cell r="B668" t="str">
            <v>VAR_ncap</v>
          </cell>
          <cell r="C668" t="str">
            <v>-</v>
          </cell>
          <cell r="D668">
            <v>6.9322762051296806E-5</v>
          </cell>
          <cell r="E668">
            <v>7.5833027697985999E-5</v>
          </cell>
          <cell r="F668">
            <v>1.84509317608842E-4</v>
          </cell>
          <cell r="G668">
            <v>2.56579357429427E-2</v>
          </cell>
          <cell r="H668">
            <v>2.2062926996189398E-2</v>
          </cell>
          <cell r="I668">
            <v>1.4350069031099401E-2</v>
          </cell>
        </row>
        <row r="669">
          <cell r="A669" t="str">
            <v>D-T-ELC-Bus_u_S1</v>
          </cell>
          <cell r="B669" t="str">
            <v>VAR_cap</v>
          </cell>
          <cell r="C669" t="str">
            <v>-</v>
          </cell>
          <cell r="D669">
            <v>6.9322762051296806E-5</v>
          </cell>
          <cell r="E669">
            <v>1.4515578974928301E-4</v>
          </cell>
          <cell r="F669">
            <v>3.2966510735812498E-4</v>
          </cell>
          <cell r="G669">
            <v>2.5958953798854399E-2</v>
          </cell>
          <cell r="H669">
            <v>2.6746997162819901E-2</v>
          </cell>
          <cell r="I669">
            <v>2.54392220577516E-2</v>
          </cell>
        </row>
        <row r="670">
          <cell r="A670" t="str">
            <v>T-Plg-DSL-mix_S1</v>
          </cell>
          <cell r="B670" t="str">
            <v>VAR_fout</v>
          </cell>
          <cell r="C670" t="str">
            <v>CO2_T</v>
          </cell>
          <cell r="D670">
            <v>1.25987281290818E-3</v>
          </cell>
          <cell r="E670">
            <v>0.17361861369666021</v>
          </cell>
          <cell r="F670">
            <v>0.12883551742578137</v>
          </cell>
          <cell r="G670">
            <v>0.10349364585972243</v>
          </cell>
          <cell r="H670">
            <v>2.598949819927919E-2</v>
          </cell>
          <cell r="I670">
            <v>1.2752875696589821E-2</v>
          </cell>
        </row>
        <row r="671">
          <cell r="A671" t="str">
            <v>T-Plg-DSL-mix_S1</v>
          </cell>
          <cell r="B671" t="str">
            <v>VAR_fout</v>
          </cell>
          <cell r="C671" t="str">
            <v>T-PEVmix-ELC_DSL_S1</v>
          </cell>
          <cell r="D671">
            <v>1.2519761704476115E-5</v>
          </cell>
          <cell r="E671">
            <v>1.7253040534513846E-3</v>
          </cell>
          <cell r="F671">
            <v>1.2802800097895446E-3</v>
          </cell>
          <cell r="G671">
            <v>1.0284496742970829E-3</v>
          </cell>
          <cell r="H671">
            <v>2.6947860916836308E-4</v>
          </cell>
          <cell r="I671">
            <v>1.4511374936712184E-4</v>
          </cell>
        </row>
        <row r="672">
          <cell r="A672" t="str">
            <v>T-Plg-DSL-mix_S1</v>
          </cell>
          <cell r="B672" t="str">
            <v>VAR_fin</v>
          </cell>
          <cell r="C672" t="str">
            <v>TDSL</v>
          </cell>
          <cell r="D672">
            <v>1.7187896492608166E-5</v>
          </cell>
          <cell r="E672">
            <v>2.3686031882218317E-3</v>
          </cell>
          <cell r="F672">
            <v>1.757646895303976E-3</v>
          </cell>
          <cell r="G672">
            <v>1.4119187702554222E-3</v>
          </cell>
          <cell r="H672">
            <v>3.5456341335987987E-4</v>
          </cell>
          <cell r="I672">
            <v>1.7398193310490861E-4</v>
          </cell>
        </row>
        <row r="673">
          <cell r="A673" t="str">
            <v>T_B_u-BEVELC-S3</v>
          </cell>
          <cell r="B673" t="str">
            <v>VAR_fout</v>
          </cell>
          <cell r="C673" t="str">
            <v>TPBSu</v>
          </cell>
          <cell r="D673">
            <v>6.6545908841021185E-4</v>
          </cell>
          <cell r="E673">
            <v>1.62205326182102E-3</v>
          </cell>
          <cell r="F673">
            <v>1.66520563808409E-3</v>
          </cell>
          <cell r="G673">
            <v>9.3417479589267785E-2</v>
          </cell>
          <cell r="H673">
            <v>7.9783866877022117E-2</v>
          </cell>
          <cell r="I673">
            <v>5.7982467502740387E-2</v>
          </cell>
        </row>
        <row r="674">
          <cell r="A674" t="str">
            <v>T_B_u-BEVELC-S3</v>
          </cell>
          <cell r="B674" t="str">
            <v>VAR_fin</v>
          </cell>
          <cell r="C674" t="str">
            <v>T-ELC-Bus_u_BatSTGout_S3</v>
          </cell>
          <cell r="D674">
            <v>3.6369765954633632E-3</v>
          </cell>
          <cell r="E674">
            <v>8.7938367681163667E-3</v>
          </cell>
          <cell r="F674">
            <v>9.0080975754365661E-3</v>
          </cell>
          <cell r="G674">
            <v>0.43309494986738173</v>
          </cell>
          <cell r="H674">
            <v>0.33731948127579858</v>
          </cell>
          <cell r="I674">
            <v>0.22909956950088628</v>
          </cell>
        </row>
        <row r="675">
          <cell r="A675" t="str">
            <v>T_B_u-BEVELC-S3</v>
          </cell>
          <cell r="B675" t="str">
            <v>VAR_ncap</v>
          </cell>
          <cell r="C675" t="str">
            <v>-</v>
          </cell>
          <cell r="E675">
            <v>4.9859548613307397E-7</v>
          </cell>
          <cell r="F675">
            <v>9.0916886290860296E-7</v>
          </cell>
          <cell r="G675">
            <v>1.74585771693589E-3</v>
          </cell>
          <cell r="H675">
            <v>1.1838131294498999E-3</v>
          </cell>
          <cell r="I675">
            <v>6.8793147528287905E-4</v>
          </cell>
        </row>
        <row r="676">
          <cell r="A676" t="str">
            <v>T_B_u-BEVELC-S3</v>
          </cell>
          <cell r="B676" t="str">
            <v>VAR_cap</v>
          </cell>
          <cell r="C676" t="str">
            <v>-</v>
          </cell>
          <cell r="D676">
            <v>1.71681889377393E-5</v>
          </cell>
          <cell r="E676">
            <v>3.0561885096708471E-5</v>
          </cell>
          <cell r="F676">
            <v>3.1416193348009382E-5</v>
          </cell>
          <cell r="G676">
            <v>1.7616108825614218E-3</v>
          </cell>
          <cell r="H676">
            <v>1.50455081351409E-3</v>
          </cell>
          <cell r="I676">
            <v>1.0934126242943801E-3</v>
          </cell>
        </row>
        <row r="677">
          <cell r="A677" t="str">
            <v>D-T-ELC-Bus_u_S2</v>
          </cell>
          <cell r="B677" t="str">
            <v>VAR_fout</v>
          </cell>
          <cell r="C677" t="str">
            <v>T-ELC-Bus_u_BatSTGin_S2</v>
          </cell>
          <cell r="D677">
            <v>1.3391076231152332E-3</v>
          </cell>
          <cell r="E677">
            <v>2.3468498738188738E-3</v>
          </cell>
          <cell r="F677">
            <v>3.0787792622502907E-3</v>
          </cell>
          <cell r="G677">
            <v>0.12229023804157974</v>
          </cell>
          <cell r="H677">
            <v>0.12553598683622591</v>
          </cell>
          <cell r="I677">
            <v>0.12072532901979817</v>
          </cell>
        </row>
        <row r="678">
          <cell r="A678" t="str">
            <v>D-T-ELC-Bus_u_S2</v>
          </cell>
          <cell r="B678" t="str">
            <v>VAR_fin</v>
          </cell>
          <cell r="C678" t="str">
            <v>TELC</v>
          </cell>
          <cell r="D678">
            <v>1.3391076231152332E-3</v>
          </cell>
          <cell r="E678">
            <v>2.3468498738188738E-3</v>
          </cell>
          <cell r="F678">
            <v>3.0787792622502907E-3</v>
          </cell>
          <cell r="G678">
            <v>0.12229023804157974</v>
          </cell>
          <cell r="H678">
            <v>0.12553598683622591</v>
          </cell>
          <cell r="I678">
            <v>0.12072532901979817</v>
          </cell>
        </row>
        <row r="679">
          <cell r="A679" t="str">
            <v>D-T-ELC-Bus_u_S2</v>
          </cell>
          <cell r="B679" t="str">
            <v>VAR_ncap</v>
          </cell>
          <cell r="C679" t="str">
            <v>-</v>
          </cell>
          <cell r="D679">
            <v>1.4959796186896399E-4</v>
          </cell>
          <cell r="E679">
            <v>1.08880940696555E-4</v>
          </cell>
          <cell r="F679">
            <v>1.4352004938508701E-4</v>
          </cell>
          <cell r="G679">
            <v>1.25787956957548E-2</v>
          </cell>
          <cell r="H679">
            <v>1.08234466085957E-2</v>
          </cell>
          <cell r="I679">
            <v>7.2942799399163096E-3</v>
          </cell>
        </row>
        <row r="680">
          <cell r="A680" t="str">
            <v>D-T-ELC-Bus_u_S2</v>
          </cell>
          <cell r="B680" t="str">
            <v>VAR_cap</v>
          </cell>
          <cell r="C680" t="str">
            <v>-</v>
          </cell>
          <cell r="D680">
            <v>1.4959796186896399E-4</v>
          </cell>
          <cell r="E680">
            <v>2.5847890256552002E-4</v>
          </cell>
          <cell r="F680">
            <v>4.01998951950606E-4</v>
          </cell>
          <cell r="G680">
            <v>1.29262308023354E-2</v>
          </cell>
          <cell r="H680">
            <v>1.32694266807364E-2</v>
          </cell>
          <cell r="I680">
            <v>1.27605521200078E-2</v>
          </cell>
        </row>
        <row r="681">
          <cell r="A681" t="str">
            <v>T-Plg-DSL-mix_S2</v>
          </cell>
          <cell r="B681" t="str">
            <v>VAR_fout</v>
          </cell>
          <cell r="C681" t="str">
            <v>CO2_T</v>
          </cell>
          <cell r="D681">
            <v>6.6874136122245899E-4</v>
          </cell>
          <cell r="E681">
            <v>4.1521115279969503E-2</v>
          </cell>
          <cell r="F681">
            <v>0.12325189586196676</v>
          </cell>
          <cell r="G681">
            <v>0.16736383509552691</v>
          </cell>
          <cell r="H681">
            <v>0.12520787962530314</v>
          </cell>
          <cell r="I681">
            <v>5.3776992100988304E-2</v>
          </cell>
        </row>
        <row r="682">
          <cell r="A682" t="str">
            <v>T-Plg-DSL-mix_S2</v>
          </cell>
          <cell r="B682" t="str">
            <v>VAR_fout</v>
          </cell>
          <cell r="C682" t="str">
            <v>T-PEVmix-ELC_DSL_S2</v>
          </cell>
          <cell r="D682">
            <v>5.4331728379122989E-6</v>
          </cell>
          <cell r="E682">
            <v>3.3733728586276586E-4</v>
          </cell>
          <cell r="F682">
            <v>1.0013570143086645E-3</v>
          </cell>
          <cell r="G682">
            <v>1.3597433860343558E-3</v>
          </cell>
          <cell r="H682">
            <v>1.0638939322991376E-3</v>
          </cell>
          <cell r="I682">
            <v>5.1765085973317856E-4</v>
          </cell>
        </row>
        <row r="683">
          <cell r="A683" t="str">
            <v>T-Plg-DSL-mix_S2</v>
          </cell>
          <cell r="B683" t="str">
            <v>VAR_fin</v>
          </cell>
          <cell r="C683" t="str">
            <v>TDSL</v>
          </cell>
          <cell r="D683">
            <v>9.1233473563773335E-6</v>
          </cell>
          <cell r="E683">
            <v>5.6645450586588649E-4</v>
          </cell>
          <cell r="F683">
            <v>1.6814719762887705E-3</v>
          </cell>
          <cell r="G683">
            <v>2.2832719658325649E-3</v>
          </cell>
          <cell r="H683">
            <v>1.708156611532104E-3</v>
          </cell>
          <cell r="I683">
            <v>7.336560996042083E-4</v>
          </cell>
        </row>
        <row r="684">
          <cell r="A684" t="str">
            <v>T_B_u-BEVELC-S4</v>
          </cell>
          <cell r="B684" t="str">
            <v>VAR_fout</v>
          </cell>
          <cell r="C684" t="str">
            <v>TPBSu</v>
          </cell>
          <cell r="D684">
            <v>1.0695590543777951E-5</v>
          </cell>
          <cell r="E684">
            <v>2.7507564990871689E-6</v>
          </cell>
          <cell r="F684">
            <v>1.4081278651450722E-5</v>
          </cell>
          <cell r="G684">
            <v>5.5026054310796443E-6</v>
          </cell>
          <cell r="H684">
            <v>7.6841215135560664E-6</v>
          </cell>
          <cell r="I684">
            <v>2.7179750315955029E-6</v>
          </cell>
        </row>
        <row r="685">
          <cell r="A685" t="str">
            <v>T_B_u-BEVELC-S4</v>
          </cell>
          <cell r="B685" t="str">
            <v>VAR_fin</v>
          </cell>
          <cell r="C685" t="str">
            <v>T-ELC-Bus_u_BatSTGout_S4</v>
          </cell>
          <cell r="D685">
            <v>8.7678041182608034E-5</v>
          </cell>
          <cell r="E685">
            <v>2.1756411787500105E-5</v>
          </cell>
          <cell r="F685">
            <v>1.0979149067363244E-4</v>
          </cell>
          <cell r="G685">
            <v>3.8661266821339831E-5</v>
          </cell>
          <cell r="H685">
            <v>4.8714244294601958E-5</v>
          </cell>
          <cell r="I685">
            <v>1.6046800110528581E-5</v>
          </cell>
        </row>
        <row r="686">
          <cell r="A686" t="str">
            <v>T_B_u-BEVELC-S4</v>
          </cell>
          <cell r="B686" t="str">
            <v>VAR_ncap</v>
          </cell>
          <cell r="C686" t="str">
            <v>-</v>
          </cell>
          <cell r="E686">
            <v>8.8788974380714999E-8</v>
          </cell>
          <cell r="F686">
            <v>1.0111801594006E-7</v>
          </cell>
          <cell r="G686">
            <v>9.9191664424859899E-8</v>
          </cell>
          <cell r="H686">
            <v>1.6562538257338099E-7</v>
          </cell>
          <cell r="I686">
            <v>7.2305360836859797E-8</v>
          </cell>
        </row>
        <row r="687">
          <cell r="A687" t="str">
            <v>T_B_u-BEVELC-S4</v>
          </cell>
          <cell r="B687" t="str">
            <v>VAR_cap</v>
          </cell>
          <cell r="C687" t="str">
            <v>-</v>
          </cell>
          <cell r="D687">
            <v>3.0250632514898297E-7</v>
          </cell>
          <cell r="E687">
            <v>2.1780464060765297E-7</v>
          </cell>
          <cell r="F687">
            <v>2.9766708680393703E-7</v>
          </cell>
          <cell r="G687">
            <v>1.557390394170098E-7</v>
          </cell>
          <cell r="H687">
            <v>2.2010136354582294E-7</v>
          </cell>
          <cell r="I687">
            <v>1.0137073336521201E-7</v>
          </cell>
        </row>
        <row r="688">
          <cell r="A688" t="str">
            <v>D-TBDS1</v>
          </cell>
          <cell r="B688" t="str">
            <v>VAR_fout</v>
          </cell>
          <cell r="C688" t="str">
            <v>TDSL</v>
          </cell>
          <cell r="D688">
            <v>2.9709298558870532</v>
          </cell>
          <cell r="E688">
            <v>2.9709287742282346</v>
          </cell>
          <cell r="F688">
            <v>2.9709287556988779</v>
          </cell>
          <cell r="G688">
            <v>2.379401439918392</v>
          </cell>
          <cell r="H688">
            <v>1.1929023191268728</v>
          </cell>
          <cell r="I688">
            <v>1.2801639477526781</v>
          </cell>
        </row>
        <row r="689">
          <cell r="A689" t="str">
            <v>D-TBDS1</v>
          </cell>
          <cell r="B689" t="str">
            <v>VAR_fout</v>
          </cell>
          <cell r="C689" t="str">
            <v>TKER</v>
          </cell>
          <cell r="G689">
            <v>0.59152734437824706</v>
          </cell>
          <cell r="H689">
            <v>1.77802709897139</v>
          </cell>
          <cell r="I689">
            <v>1.69076485578012</v>
          </cell>
        </row>
        <row r="690">
          <cell r="A690" t="str">
            <v>D-TBDS1</v>
          </cell>
          <cell r="B690" t="str">
            <v>VAR_fin</v>
          </cell>
          <cell r="C690" t="str">
            <v>BDS</v>
          </cell>
          <cell r="D690">
            <v>3.015242170612102</v>
          </cell>
          <cell r="E690">
            <v>3.0152410728200145</v>
          </cell>
          <cell r="F690">
            <v>3.0152410540142869</v>
          </cell>
          <cell r="G690">
            <v>3.015240733540514</v>
          </cell>
          <cell r="H690">
            <v>3.0152412144698473</v>
          </cell>
          <cell r="I690">
            <v>3.015240845277674</v>
          </cell>
        </row>
        <row r="691">
          <cell r="A691" t="str">
            <v>D-T-ELC-Bus_u_S3</v>
          </cell>
          <cell r="B691" t="str">
            <v>VAR_fout</v>
          </cell>
          <cell r="C691" t="str">
            <v>T-ELC-Bus_u_BatSTGin_S3</v>
          </cell>
          <cell r="D691">
            <v>3.6076263913865487E-3</v>
          </cell>
          <cell r="E691">
            <v>8.7843501610749952E-3</v>
          </cell>
          <cell r="F691">
            <v>8.9984364421144963E-3</v>
          </cell>
          <cell r="G691">
            <v>0.43315098040094524</v>
          </cell>
          <cell r="H691">
            <v>0.33738213568402053</v>
          </cell>
          <cell r="I691">
            <v>0.22914714155647112</v>
          </cell>
        </row>
        <row r="692">
          <cell r="A692" t="str">
            <v>D-T-ELC-Bus_u_S3</v>
          </cell>
          <cell r="B692" t="str">
            <v>VAR_fin</v>
          </cell>
          <cell r="C692" t="str">
            <v>TELC</v>
          </cell>
          <cell r="D692">
            <v>3.6076263913865487E-3</v>
          </cell>
          <cell r="E692">
            <v>8.7843501610749952E-3</v>
          </cell>
          <cell r="F692">
            <v>8.9984364421144963E-3</v>
          </cell>
          <cell r="G692">
            <v>0.43315098040094524</v>
          </cell>
          <cell r="H692">
            <v>0.33738213568402053</v>
          </cell>
          <cell r="I692">
            <v>0.22914714155647112</v>
          </cell>
        </row>
        <row r="693">
          <cell r="A693" t="str">
            <v>D-T-ELC-Bus_u_S3</v>
          </cell>
          <cell r="B693" t="str">
            <v>VAR_ncap</v>
          </cell>
          <cell r="C693" t="str">
            <v>-</v>
          </cell>
          <cell r="D693">
            <v>3.8294807320397699E-4</v>
          </cell>
          <cell r="E693">
            <v>5.46044211875208E-4</v>
          </cell>
          <cell r="F693">
            <v>7.1892900577374293E-5</v>
          </cell>
          <cell r="G693">
            <v>4.52159269924765E-2</v>
          </cell>
          <cell r="H693">
            <v>2.76891525828241E-2</v>
          </cell>
          <cell r="I693">
            <v>1.47364238241415E-2</v>
          </cell>
        </row>
        <row r="694">
          <cell r="A694" t="str">
            <v>D-T-ELC-Bus_u_S3</v>
          </cell>
          <cell r="B694" t="str">
            <v>VAR_cap</v>
          </cell>
          <cell r="C694" t="str">
            <v>-</v>
          </cell>
          <cell r="D694">
            <v>3.8294807320397699E-4</v>
          </cell>
          <cell r="E694">
            <v>9.2899228507918499E-4</v>
          </cell>
          <cell r="F694">
            <v>1.00088518565656E-3</v>
          </cell>
          <cell r="G694">
            <v>4.5783601798145397E-2</v>
          </cell>
          <cell r="H694">
            <v>3.5661021001417E-2</v>
          </cell>
          <cell r="I694">
            <v>2.42205468881047E-2</v>
          </cell>
        </row>
        <row r="695">
          <cell r="A695" t="str">
            <v>T-Plg-DSL-mix_S3</v>
          </cell>
          <cell r="B695" t="str">
            <v>VAR_fout</v>
          </cell>
          <cell r="C695" t="str">
            <v>CO2_T</v>
          </cell>
          <cell r="D695">
            <v>7.4326822216002602E-3</v>
          </cell>
          <cell r="E695">
            <v>12.07024230117066</v>
          </cell>
          <cell r="F695">
            <v>62.171461750180697</v>
          </cell>
          <cell r="G695">
            <v>401.4728931669755</v>
          </cell>
          <cell r="H695">
            <v>830.09952530440239</v>
          </cell>
          <cell r="I695">
            <v>439.64127676880344</v>
          </cell>
        </row>
        <row r="696">
          <cell r="A696" t="str">
            <v>T-Plg-DSL-mix_S3</v>
          </cell>
          <cell r="B696" t="str">
            <v>VAR_fout</v>
          </cell>
          <cell r="C696" t="str">
            <v>T-PEVmix-ELC_DSL_S3</v>
          </cell>
          <cell r="D696">
            <v>5.6133778343803878E-5</v>
          </cell>
          <cell r="E696">
            <v>9.115798115529343E-2</v>
          </cell>
          <cell r="F696">
            <v>0.46953696514197862</v>
          </cell>
          <cell r="G696">
            <v>3.0320400797692901</v>
          </cell>
          <cell r="H696">
            <v>6.6398041401878505</v>
          </cell>
          <cell r="I696">
            <v>4.1585640502121564</v>
          </cell>
        </row>
        <row r="697">
          <cell r="A697" t="str">
            <v>T-Plg-DSL-mix_S3</v>
          </cell>
          <cell r="B697" t="str">
            <v>VAR_fin</v>
          </cell>
          <cell r="C697" t="str">
            <v>TDSL</v>
          </cell>
          <cell r="D697">
            <v>1.0140084886221363E-4</v>
          </cell>
          <cell r="E697">
            <v>0.16466906277176913</v>
          </cell>
          <cell r="F697">
            <v>0.84817819577326981</v>
          </cell>
          <cell r="G697">
            <v>5.4771199613502812</v>
          </cell>
          <cell r="H697">
            <v>11.324686566226497</v>
          </cell>
          <cell r="I697">
            <v>5.9978346080327816</v>
          </cell>
        </row>
        <row r="698">
          <cell r="A698" t="str">
            <v>D-T-ELC-Bus_u_S4</v>
          </cell>
          <cell r="B698" t="str">
            <v>VAR_fout</v>
          </cell>
          <cell r="C698" t="str">
            <v>T-ELC-Bus_u_BatSTGin_S4</v>
          </cell>
          <cell r="D698">
            <v>9.7265198212156864E-5</v>
          </cell>
          <cell r="E698">
            <v>6.3578922862843226E-5</v>
          </cell>
          <cell r="F698">
            <v>1.4122896190781178E-4</v>
          </cell>
          <cell r="G698">
            <v>1.1282093713451816E-4</v>
          </cell>
          <cell r="H698">
            <v>1.3513609139383624E-4</v>
          </cell>
          <cell r="I698">
            <v>8.6899866321534091E-5</v>
          </cell>
        </row>
        <row r="699">
          <cell r="A699" t="str">
            <v>D-T-ELC-Bus_u_S4</v>
          </cell>
          <cell r="B699" t="str">
            <v>VAR_fin</v>
          </cell>
          <cell r="C699" t="str">
            <v>TELC</v>
          </cell>
          <cell r="D699">
            <v>9.7265198212156864E-5</v>
          </cell>
          <cell r="E699">
            <v>6.3578922862843226E-5</v>
          </cell>
          <cell r="F699">
            <v>1.4122896190781178E-4</v>
          </cell>
          <cell r="G699">
            <v>1.1282093713451816E-4</v>
          </cell>
          <cell r="H699">
            <v>1.3513609139383624E-4</v>
          </cell>
          <cell r="I699">
            <v>8.6899866321534091E-5</v>
          </cell>
        </row>
        <row r="700">
          <cell r="A700" t="str">
            <v>D-T-ELC-Bus_u_S4</v>
          </cell>
          <cell r="B700" t="str">
            <v>VAR_ncap</v>
          </cell>
          <cell r="C700" t="str">
            <v>-</v>
          </cell>
          <cell r="D700">
            <v>3.3027256466808898E-5</v>
          </cell>
          <cell r="E700">
            <v>2.4968648324875301E-5</v>
          </cell>
          <cell r="F700">
            <v>1.803923337375E-5</v>
          </cell>
          <cell r="G700">
            <v>2.2362531746464E-5</v>
          </cell>
          <cell r="H700">
            <v>2.92689386115123E-5</v>
          </cell>
          <cell r="I700">
            <v>1.0910335587952599E-5</v>
          </cell>
        </row>
        <row r="701">
          <cell r="A701" t="str">
            <v>D-T-ELC-Bus_u_S4</v>
          </cell>
          <cell r="B701" t="str">
            <v>VAR_cap</v>
          </cell>
          <cell r="C701" t="str">
            <v>-</v>
          </cell>
          <cell r="D701">
            <v>3.3027256466808898E-5</v>
          </cell>
          <cell r="E701">
            <v>5.7995904791684198E-5</v>
          </cell>
          <cell r="F701">
            <v>7.6035138165434199E-5</v>
          </cell>
          <cell r="G701">
            <v>4.8216048177717499E-5</v>
          </cell>
          <cell r="H701">
            <v>4.6145604130426999E-5</v>
          </cell>
          <cell r="I701">
            <v>1.6046701711521699E-5</v>
          </cell>
        </row>
        <row r="702">
          <cell r="A702" t="str">
            <v>T_C-FC-H2O-S1</v>
          </cell>
          <cell r="B702" t="str">
            <v>VAR_fout</v>
          </cell>
          <cell r="C702" t="str">
            <v>TPCAR</v>
          </cell>
          <cell r="E702">
            <v>2.7495753813798817E-5</v>
          </cell>
          <cell r="F702">
            <v>6.8485918313109778E-5</v>
          </cell>
          <cell r="G702">
            <v>9.4489721449350506E-5</v>
          </cell>
          <cell r="H702">
            <v>5.4710892400712757E-4</v>
          </cell>
          <cell r="I702">
            <v>2.5941156403757595E-4</v>
          </cell>
        </row>
        <row r="703">
          <cell r="A703" t="str">
            <v>T_C-FC-H2O-S1</v>
          </cell>
          <cell r="B703" t="str">
            <v>VAR_fin</v>
          </cell>
          <cell r="C703" t="str">
            <v>TH2O</v>
          </cell>
          <cell r="E703">
            <v>2.5074333784657443E-5</v>
          </cell>
          <cell r="F703">
            <v>6.2454689802681306E-5</v>
          </cell>
          <cell r="G703">
            <v>8.6168461897243997E-5</v>
          </cell>
          <cell r="H703">
            <v>4.5996995189079E-4</v>
          </cell>
          <cell r="I703">
            <v>2.0915661765291268E-4</v>
          </cell>
        </row>
        <row r="704">
          <cell r="A704" t="str">
            <v>T_C-FC-H2O-S1</v>
          </cell>
          <cell r="B704" t="str">
            <v>VAR_ncap</v>
          </cell>
          <cell r="C704" t="str">
            <v>-</v>
          </cell>
          <cell r="E704">
            <v>3.04933340115776E-6</v>
          </cell>
          <cell r="F704">
            <v>6.4482860881083398E-6</v>
          </cell>
          <cell r="G704">
            <v>5.8808148800216098E-6</v>
          </cell>
          <cell r="H704">
            <v>3.2572532077783497E-5</v>
          </cell>
          <cell r="I704">
            <v>9.7329548189727606E-6</v>
          </cell>
        </row>
        <row r="705">
          <cell r="A705" t="str">
            <v>T_C-FC-H2O-S1</v>
          </cell>
          <cell r="B705" t="str">
            <v>VAR_cap</v>
          </cell>
          <cell r="C705" t="str">
            <v>-</v>
          </cell>
          <cell r="E705">
            <v>3.0087371653889098E-6</v>
          </cell>
          <cell r="F705">
            <v>9.1989600965771501E-6</v>
          </cell>
          <cell r="G705">
            <v>1.34465969603818E-5</v>
          </cell>
          <cell r="H705">
            <v>8.1559021825157807E-5</v>
          </cell>
          <cell r="I705">
            <v>3.8700735410130076E-5</v>
          </cell>
        </row>
        <row r="706">
          <cell r="A706" t="str">
            <v>T_B_c-ICEDSL-S1</v>
          </cell>
          <cell r="B706" t="str">
            <v>VAR_fout</v>
          </cell>
          <cell r="C706" t="str">
            <v>CO2_T</v>
          </cell>
          <cell r="D706">
            <v>8.3187859537266107</v>
          </cell>
          <cell r="E706">
            <v>0.40074664603687832</v>
          </cell>
          <cell r="F706">
            <v>5.436188214680171</v>
          </cell>
        </row>
        <row r="707">
          <cell r="A707" t="str">
            <v>T_B_c-ICEDSL-S1</v>
          </cell>
          <cell r="B707" t="str">
            <v>VAR_fout</v>
          </cell>
          <cell r="C707" t="str">
            <v>TPBSc</v>
          </cell>
          <cell r="D707">
            <v>1.4063533831921172E-2</v>
          </cell>
          <cell r="E707">
            <v>6.8474198539570036E-4</v>
          </cell>
          <cell r="F707">
            <v>9.9751484526680034E-3</v>
          </cell>
        </row>
        <row r="708">
          <cell r="A708" t="str">
            <v>T_B_c-ICEDSL-S1</v>
          </cell>
          <cell r="B708" t="str">
            <v>VAR_fin</v>
          </cell>
          <cell r="C708" t="str">
            <v>TDSL</v>
          </cell>
          <cell r="D708">
            <v>0.11348957644920334</v>
          </cell>
          <cell r="E708">
            <v>5.4672120878155369E-3</v>
          </cell>
          <cell r="F708">
            <v>7.4163549995636679E-2</v>
          </cell>
        </row>
        <row r="709">
          <cell r="A709" t="str">
            <v>T_B_c-ICEDSL-S1</v>
          </cell>
          <cell r="B709" t="str">
            <v>VAR_ncap</v>
          </cell>
          <cell r="C709" t="str">
            <v>-</v>
          </cell>
          <cell r="E709">
            <v>1.0743158038364199E-6</v>
          </cell>
          <cell r="F709">
            <v>1.9896679110916301E-4</v>
          </cell>
          <cell r="H709">
            <v>1.12965896317461E-8</v>
          </cell>
          <cell r="I709">
            <v>1.1610137804656E-8</v>
          </cell>
        </row>
        <row r="710">
          <cell r="A710" t="str">
            <v>T_B_c-ICEDSL-S1</v>
          </cell>
          <cell r="B710" t="str">
            <v>VAR_cap</v>
          </cell>
          <cell r="C710" t="str">
            <v>-</v>
          </cell>
          <cell r="D710">
            <v>3.05805288461538E-4</v>
          </cell>
          <cell r="E710">
            <v>1.88130968170784E-5</v>
          </cell>
          <cell r="F710">
            <v>2.17852352607148E-4</v>
          </cell>
          <cell r="G710">
            <v>-3.918024988973888E-9</v>
          </cell>
          <cell r="H710">
            <v>1.7316683293839697E-8</v>
          </cell>
          <cell r="I710">
            <v>2.0419628576768299E-8</v>
          </cell>
        </row>
        <row r="711">
          <cell r="A711" t="str">
            <v>T-Plg-DSL-mix_S4</v>
          </cell>
          <cell r="B711" t="str">
            <v>VAR_fout</v>
          </cell>
          <cell r="C711" t="str">
            <v>CO2_T</v>
          </cell>
          <cell r="D711">
            <v>0.43018775725161601</v>
          </cell>
          <cell r="E711">
            <v>45.360258573519999</v>
          </cell>
          <cell r="F711">
            <v>41.291243961650302</v>
          </cell>
          <cell r="G711">
            <v>31.837541860764908</v>
          </cell>
          <cell r="H711">
            <v>0.16180228750774117</v>
          </cell>
          <cell r="I711">
            <v>6.6900323818529797E-2</v>
          </cell>
        </row>
        <row r="712">
          <cell r="A712" t="str">
            <v>T-Plg-DSL-mix_S4</v>
          </cell>
          <cell r="B712" t="str">
            <v>VAR_fout</v>
          </cell>
          <cell r="C712" t="str">
            <v>T-PEVmix-ELC_DSL_S4</v>
          </cell>
          <cell r="D712">
            <v>3.0928825533161151E-3</v>
          </cell>
          <cell r="E712">
            <v>0.32612260574837804</v>
          </cell>
          <cell r="F712">
            <v>0.29686797427619704</v>
          </cell>
          <cell r="G712">
            <v>0.2288995353813302</v>
          </cell>
          <cell r="H712">
            <v>1.2151288407798114E-3</v>
          </cell>
          <cell r="I712">
            <v>5.6675512451149015E-4</v>
          </cell>
        </row>
        <row r="713">
          <cell r="A713" t="str">
            <v>T-Plg-DSL-mix_S4</v>
          </cell>
          <cell r="B713" t="str">
            <v>VAR_fin</v>
          </cell>
          <cell r="C713" t="str">
            <v>TDSL</v>
          </cell>
          <cell r="D713">
            <v>5.8688643554108619E-3</v>
          </cell>
          <cell r="E713">
            <v>0.61883026703301558</v>
          </cell>
          <cell r="F713">
            <v>0.5633184715095535</v>
          </cell>
          <cell r="G713">
            <v>0.43434572797769355</v>
          </cell>
          <cell r="H713">
            <v>2.2073981924657809E-3</v>
          </cell>
          <cell r="I713">
            <v>9.126920029813066E-4</v>
          </cell>
        </row>
        <row r="714">
          <cell r="A714" t="str">
            <v>T_C-FC-H2O-S2</v>
          </cell>
          <cell r="B714" t="str">
            <v>VAR_fout</v>
          </cell>
          <cell r="C714" t="str">
            <v>TPCAR</v>
          </cell>
          <cell r="D714">
            <v>7.2219254909718572E-5</v>
          </cell>
          <cell r="E714">
            <v>1.0692483948861417E-4</v>
          </cell>
          <cell r="F714">
            <v>1.4655330542345064E-4</v>
          </cell>
          <cell r="G714">
            <v>1.7686800605053171E-4</v>
          </cell>
          <cell r="H714">
            <v>2.6414350841263084E-4</v>
          </cell>
          <cell r="I714">
            <v>1.5701597521894711E-4</v>
          </cell>
        </row>
        <row r="715">
          <cell r="A715" t="str">
            <v>T_C-FC-H2O-S2</v>
          </cell>
          <cell r="B715" t="str">
            <v>VAR_fin</v>
          </cell>
          <cell r="C715" t="str">
            <v>TH2O</v>
          </cell>
          <cell r="D715">
            <v>8.1009135065163545E-5</v>
          </cell>
          <cell r="E715">
            <v>1.1993877221223506E-4</v>
          </cell>
          <cell r="F715">
            <v>1.6439045969299869E-4</v>
          </cell>
          <cell r="G715">
            <v>1.983947938643935E-4</v>
          </cell>
          <cell r="H715">
            <v>2.7142682599892926E-4</v>
          </cell>
          <cell r="I715">
            <v>1.5016671880212811E-4</v>
          </cell>
        </row>
        <row r="716">
          <cell r="A716" t="str">
            <v>T_C-FC-H2O-S2</v>
          </cell>
          <cell r="B716" t="str">
            <v>VAR_ncap</v>
          </cell>
          <cell r="C716" t="str">
            <v>-</v>
          </cell>
          <cell r="E716">
            <v>1.82563422895411E-6</v>
          </cell>
          <cell r="F716">
            <v>4.1429630711332903E-6</v>
          </cell>
          <cell r="G716">
            <v>4.3705983948481104E-6</v>
          </cell>
          <cell r="H716">
            <v>1.2004868561715999E-5</v>
          </cell>
          <cell r="I716">
            <v>6.9405402481809501E-6</v>
          </cell>
        </row>
        <row r="717">
          <cell r="A717" t="str">
            <v>T_C-FC-H2O-S2</v>
          </cell>
          <cell r="B717" t="str">
            <v>VAR_cap</v>
          </cell>
          <cell r="C717" t="str">
            <v>-</v>
          </cell>
          <cell r="D717">
            <v>6.2058881713621817E-6</v>
          </cell>
          <cell r="E717">
            <v>8.0932965044138308E-6</v>
          </cell>
          <cell r="F717">
            <v>1.211936408193817E-5</v>
          </cell>
          <cell r="G717">
            <v>1.44594924792314E-5</v>
          </cell>
          <cell r="H717">
            <v>2.36216378129298E-5</v>
          </cell>
          <cell r="I717">
            <v>1.49492922587046E-5</v>
          </cell>
        </row>
        <row r="718">
          <cell r="A718" t="str">
            <v>T_B_c-ICEDSL-S2</v>
          </cell>
          <cell r="B718" t="str">
            <v>VAR_fout</v>
          </cell>
          <cell r="C718" t="str">
            <v>CO2_T</v>
          </cell>
          <cell r="D718">
            <v>38.086835681541196</v>
          </cell>
          <cell r="E718">
            <v>28.895595814503363</v>
          </cell>
          <cell r="F718">
            <v>35.21814733912111</v>
          </cell>
          <cell r="H718">
            <v>2.6987291254351699E-5</v>
          </cell>
        </row>
        <row r="719">
          <cell r="A719" t="str">
            <v>T_B_c-ICEDSL-S2</v>
          </cell>
          <cell r="B719" t="str">
            <v>VAR_fout</v>
          </cell>
          <cell r="C719" t="str">
            <v>TPBSc</v>
          </cell>
          <cell r="D719">
            <v>4.5447440173807752E-2</v>
          </cell>
          <cell r="E719">
            <v>3.4618049824612612E-2</v>
          </cell>
          <cell r="F719">
            <v>4.2164598474242927E-2</v>
          </cell>
          <cell r="H719">
            <v>4.1764961719261304E-8</v>
          </cell>
        </row>
        <row r="720">
          <cell r="A720" t="str">
            <v>T_B_c-ICEDSL-S2</v>
          </cell>
          <cell r="B720" t="str">
            <v>VAR_fin</v>
          </cell>
          <cell r="C720" t="str">
            <v>TDSL</v>
          </cell>
          <cell r="D720">
            <v>0.51960212389551386</v>
          </cell>
          <cell r="E720">
            <v>0.39421003839704455</v>
          </cell>
          <cell r="F720">
            <v>0.48046585728678209</v>
          </cell>
          <cell r="H720">
            <v>3.6817586977287479E-7</v>
          </cell>
        </row>
        <row r="721">
          <cell r="A721" t="str">
            <v>T_B_c-ICEDSL-S2</v>
          </cell>
          <cell r="B721" t="str">
            <v>VAR_ncap</v>
          </cell>
          <cell r="C721" t="str">
            <v>-</v>
          </cell>
          <cell r="E721">
            <v>3.6125949960260002E-7</v>
          </cell>
          <cell r="F721">
            <v>4.7866418408168697E-7</v>
          </cell>
          <cell r="H721">
            <v>1.08744808118678E-8</v>
          </cell>
          <cell r="I721">
            <v>1.07690608894093E-8</v>
          </cell>
        </row>
        <row r="722">
          <cell r="A722" t="str">
            <v>T_B_c-ICEDSL-S2</v>
          </cell>
          <cell r="B722" t="str">
            <v>VAR_cap</v>
          </cell>
          <cell r="C722" t="str">
            <v>-</v>
          </cell>
          <cell r="D722">
            <v>9.8784375000000001E-4</v>
          </cell>
          <cell r="E722">
            <v>9.1586399241068753E-4</v>
          </cell>
          <cell r="F722">
            <v>9.1637933479036128E-4</v>
          </cell>
          <cell r="G722">
            <v>-5.2893114725355989E-9</v>
          </cell>
          <cell r="H722">
            <v>2.3828500482619498E-8</v>
          </cell>
          <cell r="I722">
            <v>1.8495953789237398E-8</v>
          </cell>
        </row>
        <row r="723">
          <cell r="A723" t="str">
            <v>T_TW-FCLH2O-S1</v>
          </cell>
          <cell r="B723" t="str">
            <v>VAR_fout</v>
          </cell>
          <cell r="C723" t="str">
            <v>TPTWL</v>
          </cell>
          <cell r="G723">
            <v>6.7037239060440377E-5</v>
          </cell>
          <cell r="H723">
            <v>2.2956099081161403E-4</v>
          </cell>
          <cell r="I723">
            <v>1.5217562343291472E-4</v>
          </cell>
        </row>
        <row r="724">
          <cell r="A724" t="str">
            <v>T_TW-FCLH2O-S1</v>
          </cell>
          <cell r="B724" t="str">
            <v>VAR_fin</v>
          </cell>
          <cell r="C724" t="str">
            <v>TH2O</v>
          </cell>
          <cell r="G724">
            <v>1.44504278192764E-5</v>
          </cell>
          <cell r="H724">
            <v>4.8403088472650915E-5</v>
          </cell>
          <cell r="I724">
            <v>3.133488007322945E-5</v>
          </cell>
        </row>
        <row r="725">
          <cell r="A725" t="str">
            <v>T_TW-FCLH2O-S1</v>
          </cell>
          <cell r="B725" t="str">
            <v>VAR_ncap</v>
          </cell>
          <cell r="C725" t="str">
            <v>-</v>
          </cell>
          <cell r="G725">
            <v>2.4949268813988499E-5</v>
          </cell>
          <cell r="H725">
            <v>3.9308481758642301E-5</v>
          </cell>
          <cell r="I725">
            <v>3.1123230084484797E-5</v>
          </cell>
        </row>
        <row r="726">
          <cell r="A726" t="str">
            <v>T_TW-FCLH2O-S1</v>
          </cell>
          <cell r="B726" t="str">
            <v>VAR_cap</v>
          </cell>
          <cell r="C726" t="str">
            <v>-</v>
          </cell>
          <cell r="G726">
            <v>2.4949268813988499E-5</v>
          </cell>
          <cell r="H726">
            <v>8.7627740369744021E-5</v>
          </cell>
          <cell r="I726">
            <v>5.852731657676934E-5</v>
          </cell>
        </row>
        <row r="727">
          <cell r="A727" t="str">
            <v>D-T-ELC-TW_Bat_S1</v>
          </cell>
          <cell r="B727" t="str">
            <v>VAR_fout</v>
          </cell>
          <cell r="C727" t="str">
            <v>T-ELC-TWSTGin_S1</v>
          </cell>
          <cell r="D727">
            <v>1.574109074814777E-3</v>
          </cell>
          <cell r="E727">
            <v>2.5326483149687683E-3</v>
          </cell>
          <cell r="F727">
            <v>2.5432543451628228E-3</v>
          </cell>
          <cell r="G727">
            <v>2.601008677830459E-3</v>
          </cell>
          <cell r="H727">
            <v>1.5640583357635579E-3</v>
          </cell>
          <cell r="I727">
            <v>1.2802615971233779E-3</v>
          </cell>
        </row>
        <row r="728">
          <cell r="A728" t="str">
            <v>D-T-ELC-TW_Bat_S1</v>
          </cell>
          <cell r="B728" t="str">
            <v>VAR_fin</v>
          </cell>
          <cell r="C728" t="str">
            <v>TELC</v>
          </cell>
          <cell r="D728">
            <v>1.574109074814777E-3</v>
          </cell>
          <cell r="E728">
            <v>2.5326483149687683E-3</v>
          </cell>
          <cell r="F728">
            <v>2.5432543451628228E-3</v>
          </cell>
          <cell r="G728">
            <v>2.601008677830459E-3</v>
          </cell>
          <cell r="H728">
            <v>1.5640583357635579E-3</v>
          </cell>
          <cell r="I728">
            <v>1.2802615971233779E-3</v>
          </cell>
        </row>
        <row r="729">
          <cell r="A729" t="str">
            <v>D-T-ELC-TW_Bat_S1</v>
          </cell>
          <cell r="B729" t="str">
            <v>VAR_ncap</v>
          </cell>
          <cell r="C729" t="str">
            <v>-</v>
          </cell>
          <cell r="D729">
            <v>1.7574850717966899E-4</v>
          </cell>
          <cell r="E729">
            <v>9.2397316093620899E-5</v>
          </cell>
          <cell r="F729">
            <v>1.7999049451869901E-6</v>
          </cell>
          <cell r="G729">
            <v>6.4365293214248994E-5</v>
          </cell>
          <cell r="H729">
            <v>1.3665560316857599E-5</v>
          </cell>
          <cell r="I729">
            <v>1.03867290427735E-4</v>
          </cell>
        </row>
        <row r="730">
          <cell r="A730" t="str">
            <v>D-T-ELC-TW_Bat_S1</v>
          </cell>
          <cell r="B730" t="str">
            <v>VAR_cap</v>
          </cell>
          <cell r="C730" t="str">
            <v>-</v>
          </cell>
          <cell r="D730">
            <v>1.7574850717966899E-4</v>
          </cell>
          <cell r="E730">
            <v>2.6814582327329E-4</v>
          </cell>
          <cell r="F730">
            <v>2.6994572821847701E-4</v>
          </cell>
          <cell r="G730">
            <v>2.7491490482674003E-4</v>
          </cell>
          <cell r="H730">
            <v>1.6551455688748999E-4</v>
          </cell>
          <cell r="I730">
            <v>1.3536775555984099E-4</v>
          </cell>
        </row>
        <row r="731">
          <cell r="A731" t="str">
            <v>T_C-FC-H2O-S3</v>
          </cell>
          <cell r="B731" t="str">
            <v>VAR_fout</v>
          </cell>
          <cell r="C731" t="str">
            <v>TPCAR</v>
          </cell>
          <cell r="D731">
            <v>6.3941129965052813E-4</v>
          </cell>
          <cell r="E731">
            <v>1.5782815676394111E-3</v>
          </cell>
          <cell r="F731">
            <v>1.5094051597096449E-3</v>
          </cell>
          <cell r="G731">
            <v>1.3289763810760595E-3</v>
          </cell>
          <cell r="H731">
            <v>2.3281454931051488E-4</v>
          </cell>
          <cell r="I731">
            <v>1.7007199847855623E-4</v>
          </cell>
        </row>
        <row r="732">
          <cell r="A732" t="str">
            <v>T_C-FC-H2O-S3</v>
          </cell>
          <cell r="B732" t="str">
            <v>VAR_fin</v>
          </cell>
          <cell r="C732" t="str">
            <v>TH2O</v>
          </cell>
          <cell r="D732">
            <v>7.7037035168303245E-4</v>
          </cell>
          <cell r="E732">
            <v>1.9015324361357974E-3</v>
          </cell>
          <cell r="F732">
            <v>1.8185493192773377E-3</v>
          </cell>
          <cell r="G732">
            <v>1.6011665771743051E-3</v>
          </cell>
          <cell r="H732">
            <v>2.5620888494581407E-4</v>
          </cell>
          <cell r="I732">
            <v>1.7197066319186598E-4</v>
          </cell>
        </row>
        <row r="733">
          <cell r="A733" t="str">
            <v>T_C-FC-H2O-S3</v>
          </cell>
          <cell r="B733" t="str">
            <v>VAR_ncap</v>
          </cell>
          <cell r="C733" t="str">
            <v>-</v>
          </cell>
          <cell r="E733">
            <v>1.53676364682148E-6</v>
          </cell>
          <cell r="F733">
            <v>2.99922248628892E-6</v>
          </cell>
          <cell r="G733">
            <v>3.2456244496278801E-6</v>
          </cell>
          <cell r="H733">
            <v>9.3779948586764206E-6</v>
          </cell>
          <cell r="I733">
            <v>7.4404262430303098E-6</v>
          </cell>
        </row>
        <row r="734">
          <cell r="A734" t="str">
            <v>T_C-FC-H2O-S3</v>
          </cell>
          <cell r="B734" t="str">
            <v>VAR_cap</v>
          </cell>
          <cell r="C734" t="str">
            <v>-</v>
          </cell>
          <cell r="D734">
            <v>5.3448244094849253E-5</v>
          </cell>
          <cell r="E734">
            <v>1.0950950331792485E-4</v>
          </cell>
          <cell r="F734">
            <v>1.0725912576879419E-4</v>
          </cell>
          <cell r="G734">
            <v>9.2903503072806884E-5</v>
          </cell>
          <cell r="H734">
            <v>1.7582170874489798E-5</v>
          </cell>
          <cell r="I734">
            <v>1.3170515900233901E-5</v>
          </cell>
        </row>
        <row r="735">
          <cell r="A735" t="str">
            <v>T_B_c-ICEDSL-S3</v>
          </cell>
          <cell r="B735" t="str">
            <v>VAR_fout</v>
          </cell>
          <cell r="C735" t="str">
            <v>CO2_T</v>
          </cell>
          <cell r="D735">
            <v>11.541479466530401</v>
          </cell>
          <cell r="E735">
            <v>9.3201373198802653</v>
          </cell>
          <cell r="F735">
            <v>11.437116490289238</v>
          </cell>
          <cell r="H735">
            <v>2.0322781867539679E-4</v>
          </cell>
          <cell r="I735">
            <v>1.2849104825199799E-4</v>
          </cell>
        </row>
        <row r="736">
          <cell r="A736" t="str">
            <v>T_B_c-ICEDSL-S3</v>
          </cell>
          <cell r="B736" t="str">
            <v>VAR_fout</v>
          </cell>
          <cell r="C736" t="str">
            <v>TPBSc</v>
          </cell>
          <cell r="D736">
            <v>9.1244650389069575E-3</v>
          </cell>
          <cell r="E736">
            <v>7.3977928950387274E-3</v>
          </cell>
          <cell r="F736">
            <v>9.0721578222852477E-3</v>
          </cell>
          <cell r="H736">
            <v>2.0645015452771082E-7</v>
          </cell>
          <cell r="I736">
            <v>1.440321288618585E-7</v>
          </cell>
        </row>
        <row r="737">
          <cell r="A737" t="str">
            <v>T_B_c-ICEDSL-S3</v>
          </cell>
          <cell r="B737" t="str">
            <v>VAR_fin</v>
          </cell>
          <cell r="C737" t="str">
            <v>TDSL</v>
          </cell>
          <cell r="D737">
            <v>0.15745538153520319</v>
          </cell>
          <cell r="E737">
            <v>0.12715057735170915</v>
          </cell>
          <cell r="F737">
            <v>0.15603160286888426</v>
          </cell>
          <cell r="H737">
            <v>2.7725486858853667E-6</v>
          </cell>
          <cell r="I737">
            <v>1.7529474522782791E-6</v>
          </cell>
        </row>
        <row r="738">
          <cell r="A738" t="str">
            <v>T_B_c-ICEDSL-S3</v>
          </cell>
          <cell r="B738" t="str">
            <v>VAR_ncap</v>
          </cell>
          <cell r="C738" t="str">
            <v>-</v>
          </cell>
          <cell r="E738">
            <v>1.4922223974527499E-7</v>
          </cell>
          <cell r="F738">
            <v>1.4958882569117799E-7</v>
          </cell>
          <cell r="H738">
            <v>1.72244223247283E-8</v>
          </cell>
          <cell r="I738">
            <v>1.5446670345766499E-8</v>
          </cell>
        </row>
        <row r="739">
          <cell r="A739" t="str">
            <v>T_B_c-ICEDSL-S3</v>
          </cell>
          <cell r="B739" t="str">
            <v>VAR_cap</v>
          </cell>
          <cell r="C739" t="str">
            <v>-</v>
          </cell>
          <cell r="D739">
            <v>1.985749395027795E-4</v>
          </cell>
          <cell r="E739">
            <v>1.9707183941866717E-4</v>
          </cell>
          <cell r="F739">
            <v>1.9724005717318456E-4</v>
          </cell>
          <cell r="G739">
            <v>-1.0580161765276356E-9</v>
          </cell>
          <cell r="H739">
            <v>3.0269044019787502E-8</v>
          </cell>
          <cell r="I739">
            <v>2.1346400954883502E-8</v>
          </cell>
        </row>
        <row r="740">
          <cell r="A740" t="str">
            <v>T_TW-FCLH2O-S2</v>
          </cell>
          <cell r="B740" t="str">
            <v>VAR_fout</v>
          </cell>
          <cell r="C740" t="str">
            <v>TPTWL</v>
          </cell>
          <cell r="G740">
            <v>3.5091743951370451E-5</v>
          </cell>
          <cell r="H740">
            <v>1.1511218746890474E-4</v>
          </cell>
          <cell r="I740">
            <v>8.1023313782129444E-5</v>
          </cell>
        </row>
        <row r="741">
          <cell r="A741" t="str">
            <v>T_TW-FCLH2O-S2</v>
          </cell>
          <cell r="B741" t="str">
            <v>VAR_fin</v>
          </cell>
          <cell r="C741" t="str">
            <v>TH2O</v>
          </cell>
          <cell r="G741">
            <v>1.2992674587010589E-5</v>
          </cell>
          <cell r="H741">
            <v>4.1856713700509553E-5</v>
          </cell>
          <cell r="I741">
            <v>2.8873307268600866E-5</v>
          </cell>
        </row>
        <row r="742">
          <cell r="A742" t="str">
            <v>T_TW-FCLH2O-S2</v>
          </cell>
          <cell r="B742" t="str">
            <v>VAR_ncap</v>
          </cell>
          <cell r="C742" t="str">
            <v>-</v>
          </cell>
          <cell r="G742">
            <v>1.31713683994078E-5</v>
          </cell>
          <cell r="H742">
            <v>1.6780016897213201E-5</v>
          </cell>
          <cell r="I742">
            <v>1.31007483059986E-5</v>
          </cell>
        </row>
        <row r="743">
          <cell r="A743" t="str">
            <v>T_TW-FCLH2O-S2</v>
          </cell>
          <cell r="B743" t="str">
            <v>VAR_cap</v>
          </cell>
          <cell r="C743" t="str">
            <v>-</v>
          </cell>
          <cell r="G743">
            <v>1.31713683994078E-5</v>
          </cell>
          <cell r="H743">
            <v>4.3989699033420079E-5</v>
          </cell>
          <cell r="I743">
            <v>3.1030216523209538E-5</v>
          </cell>
        </row>
        <row r="744">
          <cell r="A744" t="str">
            <v>D-T-ELC-TW_Bat_S2</v>
          </cell>
          <cell r="B744" t="str">
            <v>VAR_fout</v>
          </cell>
          <cell r="C744" t="str">
            <v>T-ELC-TWSTGin_S2</v>
          </cell>
          <cell r="D744">
            <v>3.5822608509929139E-4</v>
          </cell>
          <cell r="E744">
            <v>4.4744550908506456E-4</v>
          </cell>
          <cell r="F744">
            <v>4.4937008290826368E-4</v>
          </cell>
          <cell r="G744">
            <v>1.6692571220530655E-3</v>
          </cell>
          <cell r="H744">
            <v>1.7903419548018391E-3</v>
          </cell>
          <cell r="I744">
            <v>1.3896245265887796E-3</v>
          </cell>
        </row>
        <row r="745">
          <cell r="A745" t="str">
            <v>D-T-ELC-TW_Bat_S2</v>
          </cell>
          <cell r="B745" t="str">
            <v>VAR_fin</v>
          </cell>
          <cell r="C745" t="str">
            <v>TELC</v>
          </cell>
          <cell r="D745">
            <v>3.5822608509929139E-4</v>
          </cell>
          <cell r="E745">
            <v>4.4744550908506456E-4</v>
          </cell>
          <cell r="F745">
            <v>4.4937008290826368E-4</v>
          </cell>
          <cell r="G745">
            <v>1.6692571220530655E-3</v>
          </cell>
          <cell r="H745">
            <v>1.7903419548018391E-3</v>
          </cell>
          <cell r="I745">
            <v>1.3896245265887796E-3</v>
          </cell>
        </row>
        <row r="746">
          <cell r="A746" t="str">
            <v>D-T-ELC-TW_Bat_S2</v>
          </cell>
          <cell r="B746" t="str">
            <v>VAR_ncap</v>
          </cell>
          <cell r="C746" t="str">
            <v>-</v>
          </cell>
          <cell r="D746">
            <v>5.9709964100470499E-5</v>
          </cell>
          <cell r="E746">
            <v>3.6518828149152598E-7</v>
          </cell>
          <cell r="F746">
            <v>2.1397039538127301E-6</v>
          </cell>
          <cell r="G746">
            <v>1.1423542609981301E-4</v>
          </cell>
          <cell r="H746">
            <v>1.0447678178337301E-6</v>
          </cell>
          <cell r="I746">
            <v>1.0200231442064E-4</v>
          </cell>
        </row>
        <row r="747">
          <cell r="A747" t="str">
            <v>D-T-ELC-TW_Bat_S2</v>
          </cell>
          <cell r="B747" t="str">
            <v>VAR_cap</v>
          </cell>
          <cell r="C747" t="str">
            <v>-</v>
          </cell>
          <cell r="D747">
            <v>5.9709964100470499E-5</v>
          </cell>
          <cell r="E747">
            <v>6.00751523819621E-5</v>
          </cell>
          <cell r="F747">
            <v>6.2214856335774803E-5</v>
          </cell>
          <cell r="G747">
            <v>1.76450282435588E-4</v>
          </cell>
          <cell r="H747">
            <v>1.89430745668475E-4</v>
          </cell>
          <cell r="I747">
            <v>1.4692223906585101E-4</v>
          </cell>
        </row>
        <row r="748">
          <cell r="A748" t="str">
            <v>T_C-FC-H2O-S4</v>
          </cell>
          <cell r="B748" t="str">
            <v>VAR_fout</v>
          </cell>
          <cell r="C748" t="str">
            <v>TPCAR</v>
          </cell>
          <cell r="E748">
            <v>2.7642843510682554E-5</v>
          </cell>
          <cell r="F748">
            <v>7.1915525062904686E-5</v>
          </cell>
          <cell r="G748">
            <v>1.1247649413486337E-4</v>
          </cell>
          <cell r="H748">
            <v>6.0715111221242067E-4</v>
          </cell>
          <cell r="I748">
            <v>1.4670389218082354E-3</v>
          </cell>
        </row>
        <row r="749">
          <cell r="A749" t="str">
            <v>T_C-FC-H2O-S4</v>
          </cell>
          <cell r="B749" t="str">
            <v>VAR_fin</v>
          </cell>
          <cell r="C749" t="str">
            <v>TH2O</v>
          </cell>
          <cell r="E749">
            <v>3.3035853382307106E-5</v>
          </cell>
          <cell r="F749">
            <v>8.5945960695817255E-5</v>
          </cell>
          <cell r="G749">
            <v>1.3442021504623129E-4</v>
          </cell>
          <cell r="H749">
            <v>6.5867213269279112E-4</v>
          </cell>
          <cell r="I749">
            <v>1.4142523321268908E-3</v>
          </cell>
        </row>
        <row r="750">
          <cell r="A750" t="str">
            <v>T_C-FC-H2O-S4</v>
          </cell>
          <cell r="B750" t="str">
            <v>VAR_ncap</v>
          </cell>
          <cell r="C750" t="str">
            <v>-</v>
          </cell>
          <cell r="E750">
            <v>2.2715951842515001E-6</v>
          </cell>
          <cell r="F750">
            <v>4.2846916426083304E-6</v>
          </cell>
          <cell r="G750">
            <v>4.5519023899431598E-6</v>
          </cell>
          <cell r="H750">
            <v>3.6384957701681701E-5</v>
          </cell>
          <cell r="I750">
            <v>1.51593597330012E-4</v>
          </cell>
        </row>
        <row r="751">
          <cell r="A751" t="str">
            <v>T_C-FC-H2O-S4</v>
          </cell>
          <cell r="B751" t="str">
            <v>VAR_cap</v>
          </cell>
          <cell r="C751" t="str">
            <v>-</v>
          </cell>
          <cell r="E751">
            <v>2.2413530947390101E-6</v>
          </cell>
          <cell r="F751">
            <v>6.34070989291239E-6</v>
          </cell>
          <cell r="G751">
            <v>9.7289914990496202E-6</v>
          </cell>
          <cell r="H751">
            <v>5.2738745769062501E-5</v>
          </cell>
          <cell r="I751">
            <v>1.52388801305228E-4</v>
          </cell>
        </row>
        <row r="752">
          <cell r="A752" t="str">
            <v>T_B_c-ICEDSL-S4</v>
          </cell>
          <cell r="B752" t="str">
            <v>VAR_fout</v>
          </cell>
          <cell r="C752" t="str">
            <v>CO2_T</v>
          </cell>
          <cell r="D752">
            <v>0.94800217524212105</v>
          </cell>
          <cell r="F752">
            <v>1.2492661312149067E-3</v>
          </cell>
        </row>
        <row r="753">
          <cell r="A753" t="str">
            <v>T_B_c-ICEDSL-S4</v>
          </cell>
          <cell r="B753" t="str">
            <v>VAR_fout</v>
          </cell>
          <cell r="C753" t="str">
            <v>TPBSc</v>
          </cell>
          <cell r="D753">
            <v>4.9982194299083788E-4</v>
          </cell>
          <cell r="F753">
            <v>6.7388633228054228E-7</v>
          </cell>
        </row>
        <row r="754">
          <cell r="A754" t="str">
            <v>T_B_c-ICEDSL-S4</v>
          </cell>
          <cell r="B754" t="str">
            <v>VAR_fin</v>
          </cell>
          <cell r="C754" t="str">
            <v>TDSL</v>
          </cell>
          <cell r="D754">
            <v>1.2933181108350922E-2</v>
          </cell>
          <cell r="F754">
            <v>1.7043194150271587E-5</v>
          </cell>
        </row>
        <row r="755">
          <cell r="A755" t="str">
            <v>T_B_c-ICEDSL-S4</v>
          </cell>
          <cell r="B755" t="str">
            <v>VAR_ncap</v>
          </cell>
          <cell r="C755" t="str">
            <v>-</v>
          </cell>
          <cell r="F755">
            <v>1.5365506765870401E-8</v>
          </cell>
        </row>
        <row r="756">
          <cell r="A756" t="str">
            <v>T_B_c-ICEDSL-S4</v>
          </cell>
          <cell r="B756" t="str">
            <v>VAR_cap</v>
          </cell>
          <cell r="C756" t="str">
            <v>-</v>
          </cell>
          <cell r="D756">
            <v>1.1003912050535003E-5</v>
          </cell>
          <cell r="E756">
            <v>3.1073340273904057E-8</v>
          </cell>
          <cell r="F756">
            <v>7.2700527593272109E-8</v>
          </cell>
          <cell r="G756">
            <v>-1.7631863077908093E-9</v>
          </cell>
        </row>
        <row r="757">
          <cell r="A757" t="str">
            <v>D-T-ELC-HGV</v>
          </cell>
          <cell r="B757" t="str">
            <v>VAR_fout</v>
          </cell>
          <cell r="C757" t="str">
            <v>T-ELC-HGV_BatSTGin</v>
          </cell>
          <cell r="D757">
            <v>9.930396484890542E-3</v>
          </cell>
          <cell r="E757">
            <v>2.0633203630931237E-2</v>
          </cell>
          <cell r="F757">
            <v>2.0726340962534118E-2</v>
          </cell>
          <cell r="G757">
            <v>5.7899275803123072E-3</v>
          </cell>
          <cell r="H757">
            <v>8.7911276874402214E-4</v>
          </cell>
          <cell r="I757">
            <v>4.4202234551273217E-4</v>
          </cell>
        </row>
        <row r="758">
          <cell r="A758" t="str">
            <v>D-T-ELC-HGV</v>
          </cell>
          <cell r="B758" t="str">
            <v>VAR_fin</v>
          </cell>
          <cell r="C758" t="str">
            <v>TELC</v>
          </cell>
          <cell r="D758">
            <v>9.930396484890542E-3</v>
          </cell>
          <cell r="E758">
            <v>2.0633203630931237E-2</v>
          </cell>
          <cell r="F758">
            <v>2.0726340962534118E-2</v>
          </cell>
          <cell r="G758">
            <v>5.7899275803123072E-3</v>
          </cell>
          <cell r="H758">
            <v>8.7911276874402214E-4</v>
          </cell>
          <cell r="I758">
            <v>4.4202234551273217E-4</v>
          </cell>
        </row>
        <row r="759">
          <cell r="A759" t="str">
            <v>D-T-ELC-HGV</v>
          </cell>
          <cell r="B759" t="str">
            <v>VAR_ncap</v>
          </cell>
          <cell r="C759" t="str">
            <v>-</v>
          </cell>
          <cell r="D759">
            <v>1.29314107473206E-3</v>
          </cell>
          <cell r="E759">
            <v>1.3366276453389799E-3</v>
          </cell>
          <cell r="F759">
            <v>5.18541978253346E-5</v>
          </cell>
          <cell r="G759">
            <v>9.5298142174784595E-5</v>
          </cell>
          <cell r="H759">
            <v>7.3158568452241096E-5</v>
          </cell>
          <cell r="I759">
            <v>4.6532924683446601E-5</v>
          </cell>
        </row>
        <row r="760">
          <cell r="A760" t="str">
            <v>D-T-ELC-HGV</v>
          </cell>
          <cell r="B760" t="str">
            <v>VAR_cap</v>
          </cell>
          <cell r="C760" t="str">
            <v>-</v>
          </cell>
          <cell r="D760">
            <v>1.29314107473206E-3</v>
          </cell>
          <cell r="E760">
            <v>2.6297687200710399E-3</v>
          </cell>
          <cell r="F760">
            <v>2.6816229178963798E-3</v>
          </cell>
          <cell r="G760">
            <v>7.3768344008352804E-4</v>
          </cell>
          <cell r="H760">
            <v>1.3283501771094299E-4</v>
          </cell>
          <cell r="I760">
            <v>5.9371422096506203E-5</v>
          </cell>
        </row>
        <row r="761">
          <cell r="A761" t="str">
            <v>T_TW-FCLH2O-S3</v>
          </cell>
          <cell r="B761" t="str">
            <v>VAR_fout</v>
          </cell>
          <cell r="C761" t="str">
            <v>TPTWL</v>
          </cell>
          <cell r="G761">
            <v>2.0129408887940606E-5</v>
          </cell>
          <cell r="H761">
            <v>6.2357989562138286E-5</v>
          </cell>
          <cell r="I761">
            <v>6.0734793732316721E-5</v>
          </cell>
        </row>
        <row r="762">
          <cell r="A762" t="str">
            <v>T_TW-FCLH2O-S3</v>
          </cell>
          <cell r="B762" t="str">
            <v>VAR_fin</v>
          </cell>
          <cell r="C762" t="str">
            <v>TH2O</v>
          </cell>
          <cell r="G762">
            <v>1.1432951259614009E-5</v>
          </cell>
          <cell r="H762">
            <v>3.4862796957773767E-5</v>
          </cell>
          <cell r="I762">
            <v>3.3349714377065385E-5</v>
          </cell>
        </row>
        <row r="763">
          <cell r="A763" t="str">
            <v>T_TW-FCLH2O-S3</v>
          </cell>
          <cell r="B763" t="str">
            <v>VAR_ncap</v>
          </cell>
          <cell r="C763" t="str">
            <v>-</v>
          </cell>
          <cell r="G763">
            <v>7.3725002990516703E-6</v>
          </cell>
          <cell r="H763">
            <v>7.3365574557919696E-6</v>
          </cell>
          <cell r="I763">
            <v>6.9468513903776797E-6</v>
          </cell>
        </row>
        <row r="764">
          <cell r="A764" t="str">
            <v>T_TW-FCLH2O-S3</v>
          </cell>
          <cell r="B764" t="str">
            <v>VAR_cap</v>
          </cell>
          <cell r="C764" t="str">
            <v>-</v>
          </cell>
          <cell r="G764">
            <v>7.3725002990516703E-6</v>
          </cell>
          <cell r="H764">
            <v>2.3323731035684593E-5</v>
          </cell>
          <cell r="I764">
            <v>2.3077651535665659E-5</v>
          </cell>
        </row>
        <row r="765">
          <cell r="A765" t="str">
            <v>D-T-ELC-TW_Bat_S3</v>
          </cell>
          <cell r="B765" t="str">
            <v>VAR_fout</v>
          </cell>
          <cell r="C765" t="str">
            <v>T-ELC-TWSTGin_S3</v>
          </cell>
          <cell r="D765">
            <v>7.7885396810261587E-5</v>
          </cell>
          <cell r="E765">
            <v>1.3814159599031511E-4</v>
          </cell>
          <cell r="F765">
            <v>1.427412533219912E-4</v>
          </cell>
          <cell r="G765">
            <v>1.7923465227413309E-3</v>
          </cell>
          <cell r="H765">
            <v>3.2199934899573776E-3</v>
          </cell>
          <cell r="I765">
            <v>2.0657774063831597E-3</v>
          </cell>
        </row>
        <row r="766">
          <cell r="A766" t="str">
            <v>D-T-ELC-TW_Bat_S3</v>
          </cell>
          <cell r="B766" t="str">
            <v>VAR_fin</v>
          </cell>
          <cell r="C766" t="str">
            <v>TELC</v>
          </cell>
          <cell r="D766">
            <v>7.7885396810261587E-5</v>
          </cell>
          <cell r="E766">
            <v>1.3814159599031511E-4</v>
          </cell>
          <cell r="F766">
            <v>1.427412533219912E-4</v>
          </cell>
          <cell r="G766">
            <v>1.7923465227413309E-3</v>
          </cell>
          <cell r="H766">
            <v>3.2199934899573776E-3</v>
          </cell>
          <cell r="I766">
            <v>2.0657774063831597E-3</v>
          </cell>
        </row>
        <row r="767">
          <cell r="A767" t="str">
            <v>D-T-ELC-TW_Bat_S3</v>
          </cell>
          <cell r="B767" t="str">
            <v>VAR_ncap</v>
          </cell>
          <cell r="C767" t="str">
            <v>-</v>
          </cell>
          <cell r="D767">
            <v>5.2742569633254998E-5</v>
          </cell>
          <cell r="E767">
            <v>3.5152756790945497E-7</v>
          </cell>
          <cell r="F767">
            <v>1.19786646401586E-6</v>
          </cell>
          <cell r="G767">
            <v>1.3521306344392499E-4</v>
          </cell>
          <cell r="H767">
            <v>3.3500316093655899E-6</v>
          </cell>
          <cell r="I767">
            <v>3.48526800828291E-5</v>
          </cell>
        </row>
        <row r="768">
          <cell r="A768" t="str">
            <v>D-T-ELC-TW_Bat_S3</v>
          </cell>
          <cell r="B768" t="str">
            <v>VAR_cap</v>
          </cell>
          <cell r="C768" t="str">
            <v>-</v>
          </cell>
          <cell r="D768">
            <v>5.2742569633254998E-5</v>
          </cell>
          <cell r="E768">
            <v>5.30940972011645E-5</v>
          </cell>
          <cell r="F768">
            <v>5.42919636651803E-5</v>
          </cell>
          <cell r="G768">
            <v>1.89505027109105E-4</v>
          </cell>
          <cell r="H768">
            <v>3.4041039527267801E-4</v>
          </cell>
          <cell r="I768">
            <v>2.1840053970517901E-4</v>
          </cell>
        </row>
        <row r="769">
          <cell r="A769" t="str">
            <v>T_TW-FCLH2O-S4</v>
          </cell>
          <cell r="B769" t="str">
            <v>VAR_fout</v>
          </cell>
          <cell r="C769" t="str">
            <v>TPTWL</v>
          </cell>
          <cell r="G769">
            <v>9.5846317553299225E-6</v>
          </cell>
          <cell r="H769">
            <v>3.2033125898376742E-5</v>
          </cell>
          <cell r="I769">
            <v>3.8447322547409395E-5</v>
          </cell>
        </row>
        <row r="770">
          <cell r="A770" t="str">
            <v>T_TW-FCLH2O-S4</v>
          </cell>
          <cell r="B770" t="str">
            <v>VAR_fin</v>
          </cell>
          <cell r="C770" t="str">
            <v>TH2O</v>
          </cell>
          <cell r="G770">
            <v>6.1359661235416219E-6</v>
          </cell>
          <cell r="H770">
            <v>2.0126251699356646E-5</v>
          </cell>
          <cell r="I770">
            <v>2.3794893805425502E-5</v>
          </cell>
        </row>
        <row r="771">
          <cell r="A771" t="str">
            <v>T_TW-FCLH2O-S4</v>
          </cell>
          <cell r="B771" t="str">
            <v>VAR_ncap</v>
          </cell>
          <cell r="C771" t="str">
            <v>-</v>
          </cell>
          <cell r="G771">
            <v>3.4198089788373899E-6</v>
          </cell>
          <cell r="H771">
            <v>3.9422612476434004E-6</v>
          </cell>
          <cell r="I771">
            <v>3.6481657951035999E-6</v>
          </cell>
        </row>
        <row r="772">
          <cell r="A772" t="str">
            <v>T_TW-FCLH2O-S4</v>
          </cell>
          <cell r="B772" t="str">
            <v>VAR_cap</v>
          </cell>
          <cell r="C772" t="str">
            <v>-</v>
          </cell>
          <cell r="G772">
            <v>3.4198089788373899E-6</v>
          </cell>
          <cell r="H772">
            <v>1.1644946171519916E-5</v>
          </cell>
          <cell r="I772">
            <v>1.41318519471177E-5</v>
          </cell>
        </row>
        <row r="773">
          <cell r="A773" t="str">
            <v>D-T-ELC-TW_Bat_S4</v>
          </cell>
          <cell r="B773" t="str">
            <v>VAR_fout</v>
          </cell>
          <cell r="C773" t="str">
            <v>T-ELC-TWSTGin_S4</v>
          </cell>
          <cell r="D773">
            <v>2.6978610150842853E-5</v>
          </cell>
          <cell r="E773">
            <v>5.8682198848040706E-5</v>
          </cell>
          <cell r="F773">
            <v>6.935408817405401E-5</v>
          </cell>
          <cell r="G773">
            <v>1.8292880536470405E-3</v>
          </cell>
          <cell r="H773">
            <v>3.5994039686169516E-3</v>
          </cell>
          <cell r="I773">
            <v>3.2687875995042284E-3</v>
          </cell>
        </row>
        <row r="774">
          <cell r="A774" t="str">
            <v>D-T-ELC-TW_Bat_S4</v>
          </cell>
          <cell r="B774" t="str">
            <v>VAR_fin</v>
          </cell>
          <cell r="C774" t="str">
            <v>TELC</v>
          </cell>
          <cell r="D774">
            <v>2.6978610150842853E-5</v>
          </cell>
          <cell r="E774">
            <v>5.8682198848040706E-5</v>
          </cell>
          <cell r="F774">
            <v>6.935408817405401E-5</v>
          </cell>
          <cell r="G774">
            <v>1.8292880536470405E-3</v>
          </cell>
          <cell r="H774">
            <v>3.5994039686169516E-3</v>
          </cell>
          <cell r="I774">
            <v>3.2687875995042284E-3</v>
          </cell>
        </row>
        <row r="775">
          <cell r="A775" t="str">
            <v>D-T-ELC-TW_Bat_S4</v>
          </cell>
          <cell r="B775" t="str">
            <v>VAR_ncap</v>
          </cell>
          <cell r="C775" t="str">
            <v>-</v>
          </cell>
          <cell r="D775">
            <v>5.5151408613754399E-5</v>
          </cell>
          <cell r="E775">
            <v>3.5663665013256899E-7</v>
          </cell>
          <cell r="F775">
            <v>8.9672772434935896E-7</v>
          </cell>
          <cell r="G775">
            <v>1.37011925479732E-4</v>
          </cell>
          <cell r="H775">
            <v>2.7462969900092201E-6</v>
          </cell>
          <cell r="I775">
            <v>6.3841186940413603E-5</v>
          </cell>
        </row>
        <row r="776">
          <cell r="A776" t="str">
            <v>D-T-ELC-TW_Bat_S4</v>
          </cell>
          <cell r="B776" t="str">
            <v>VAR_cap</v>
          </cell>
          <cell r="C776" t="str">
            <v>-</v>
          </cell>
          <cell r="D776">
            <v>5.5151408613754399E-5</v>
          </cell>
          <cell r="E776">
            <v>5.5508045263886902E-5</v>
          </cell>
          <cell r="F776">
            <v>5.6404772988236303E-5</v>
          </cell>
          <cell r="G776">
            <v>1.93416698467968E-4</v>
          </cell>
          <cell r="H776">
            <v>3.8040100160895298E-4</v>
          </cell>
          <cell r="I776">
            <v>3.4561165530050999E-4</v>
          </cell>
        </row>
        <row r="777">
          <cell r="A777" t="str">
            <v>T_B_u-ICENGA-S1</v>
          </cell>
          <cell r="B777" t="str">
            <v>VAR_fout</v>
          </cell>
          <cell r="C777" t="str">
            <v>CO2_T</v>
          </cell>
          <cell r="E777">
            <v>4.3661665036644898E-3</v>
          </cell>
          <cell r="F777">
            <v>4.41876617449884E-2</v>
          </cell>
          <cell r="G777">
            <v>1.6909316999573801E-5</v>
          </cell>
          <cell r="H777">
            <v>1.10037898693677E-4</v>
          </cell>
          <cell r="I777">
            <v>7.0430887728430697E-5</v>
          </cell>
        </row>
        <row r="778">
          <cell r="A778" t="str">
            <v>T_B_u-ICENGA-S1</v>
          </cell>
          <cell r="B778" t="str">
            <v>VAR_fout</v>
          </cell>
          <cell r="C778" t="str">
            <v>TPBSu</v>
          </cell>
          <cell r="E778">
            <v>9.3081033902389528E-6</v>
          </cell>
          <cell r="F778">
            <v>9.8744049340260314E-5</v>
          </cell>
          <cell r="G778">
            <v>4.1295651256218698E-8</v>
          </cell>
          <cell r="H778">
            <v>2.9833124792745499E-7</v>
          </cell>
          <cell r="I778">
            <v>2.0989482492138416E-7</v>
          </cell>
        </row>
        <row r="779">
          <cell r="A779" t="str">
            <v>T_B_u-ICENGA-S1</v>
          </cell>
          <cell r="B779" t="str">
            <v>VAR_fin</v>
          </cell>
          <cell r="C779" t="str">
            <v>TNGA</v>
          </cell>
          <cell r="E779">
            <v>7.7414299710363299E-5</v>
          </cell>
          <cell r="F779">
            <v>7.8346917987568148E-4</v>
          </cell>
          <cell r="G779">
            <v>2.9981058509882539E-7</v>
          </cell>
          <cell r="H779">
            <v>1.9510265725829182E-6</v>
          </cell>
          <cell r="I779">
            <v>1.2487746051140203E-6</v>
          </cell>
        </row>
        <row r="780">
          <cell r="A780" t="str">
            <v>T_B_u-ICENGA-S1</v>
          </cell>
          <cell r="B780" t="str">
            <v>VAR_ncap</v>
          </cell>
          <cell r="C780" t="str">
            <v>-</v>
          </cell>
          <cell r="E780">
            <v>2.3030097329081399E-7</v>
          </cell>
          <cell r="F780">
            <v>1.70160872388408E-6</v>
          </cell>
          <cell r="G780">
            <v>1.15344053798752E-8</v>
          </cell>
          <cell r="H780">
            <v>1.7282966676620899E-8</v>
          </cell>
          <cell r="I780">
            <v>1.66463544764222E-8</v>
          </cell>
        </row>
        <row r="781">
          <cell r="A781" t="str">
            <v>T_B_u-ICENGA-S1</v>
          </cell>
          <cell r="B781" t="str">
            <v>VAR_cap</v>
          </cell>
          <cell r="C781" t="str">
            <v>-</v>
          </cell>
          <cell r="E781">
            <v>2.3030097329081399E-7</v>
          </cell>
          <cell r="F781">
            <v>1.9319096971748899E-6</v>
          </cell>
          <cell r="G781">
            <v>2.5811462693669903E-8</v>
          </cell>
          <cell r="H781">
            <v>3.5870609424767398E-8</v>
          </cell>
          <cell r="I781">
            <v>2.8217251176193399E-8</v>
          </cell>
        </row>
        <row r="782">
          <cell r="A782" t="str">
            <v>T_B_u-ICENGA-S2</v>
          </cell>
          <cell r="B782" t="str">
            <v>VAR_fout</v>
          </cell>
          <cell r="C782" t="str">
            <v>CO2_T</v>
          </cell>
          <cell r="E782">
            <v>3.1567640496265102E-3</v>
          </cell>
          <cell r="F782">
            <v>1.0179418179266193</v>
          </cell>
        </row>
        <row r="783">
          <cell r="A783" t="str">
            <v>T_B_u-ICENGA-S2</v>
          </cell>
          <cell r="B783" t="str">
            <v>VAR_fout</v>
          </cell>
          <cell r="C783" t="str">
            <v>TPBSu</v>
          </cell>
          <cell r="E783">
            <v>4.7574267968381245E-6</v>
          </cell>
          <cell r="F783">
            <v>1.613653455121969E-3</v>
          </cell>
        </row>
        <row r="784">
          <cell r="A784" t="str">
            <v>T_B_u-ICENGA-S2</v>
          </cell>
          <cell r="B784" t="str">
            <v>VAR_fin</v>
          </cell>
          <cell r="C784" t="str">
            <v>TNGA</v>
          </cell>
          <cell r="E784">
            <v>5.5970993787704196E-5</v>
          </cell>
          <cell r="F784">
            <v>1.8048613793025161E-2</v>
          </cell>
        </row>
        <row r="785">
          <cell r="A785" t="str">
            <v>T_B_u-ICENGA-S2</v>
          </cell>
          <cell r="B785" t="str">
            <v>VAR_ncap</v>
          </cell>
          <cell r="C785" t="str">
            <v>-</v>
          </cell>
          <cell r="E785">
            <v>1.22566956144216E-7</v>
          </cell>
          <cell r="F785">
            <v>3.0327387537238099E-5</v>
          </cell>
        </row>
        <row r="786">
          <cell r="A786" t="str">
            <v>T_B_u-ICENGA-S2</v>
          </cell>
          <cell r="B786" t="str">
            <v>VAR_cap</v>
          </cell>
          <cell r="C786" t="str">
            <v>-</v>
          </cell>
          <cell r="E786">
            <v>1.22566956144216E-7</v>
          </cell>
          <cell r="F786">
            <v>3.0449954493382301E-5</v>
          </cell>
          <cell r="G786">
            <v>6.9649439552986751E-9</v>
          </cell>
        </row>
        <row r="787">
          <cell r="A787" t="str">
            <v>T_B_c-ICEDSLEXT</v>
          </cell>
          <cell r="B787" t="str">
            <v>VAR_fout</v>
          </cell>
          <cell r="C787" t="str">
            <v>CO2_T</v>
          </cell>
          <cell r="D787">
            <v>0.44189690195514902</v>
          </cell>
          <cell r="E787">
            <v>0.44078837146552902</v>
          </cell>
          <cell r="F787">
            <v>0.43757925191659103</v>
          </cell>
        </row>
        <row r="788">
          <cell r="A788" t="str">
            <v>T_B_c-ICEDSLEXT</v>
          </cell>
          <cell r="B788" t="str">
            <v>VAR_fout</v>
          </cell>
          <cell r="C788" t="str">
            <v>TPBSc</v>
          </cell>
          <cell r="D788">
            <v>5.9986145557374394E-2</v>
          </cell>
          <cell r="E788">
            <v>4.7985957917089601E-2</v>
          </cell>
          <cell r="F788">
            <v>2.9991444551303429E-2</v>
          </cell>
        </row>
        <row r="789">
          <cell r="A789" t="str">
            <v>T_B_c-ICEDSLEXT</v>
          </cell>
          <cell r="B789" t="str">
            <v>VAR_fin</v>
          </cell>
          <cell r="C789" t="str">
            <v>TDSL</v>
          </cell>
          <cell r="D789">
            <v>6.0286071208069452E-3</v>
          </cell>
          <cell r="E789">
            <v>6.0134839217671114E-3</v>
          </cell>
          <cell r="F789">
            <v>5.9697033003627744E-3</v>
          </cell>
        </row>
        <row r="790">
          <cell r="A790" t="str">
            <v>T_B_c-ICEDSLEXT</v>
          </cell>
          <cell r="B790" t="str">
            <v>VAR_cap</v>
          </cell>
          <cell r="C790" t="str">
            <v>-</v>
          </cell>
          <cell r="D790">
            <v>1.30332047521267E-3</v>
          </cell>
          <cell r="E790">
            <v>1.04265638017014E-3</v>
          </cell>
          <cell r="F790">
            <v>6.5166023760633498E-4</v>
          </cell>
        </row>
        <row r="791">
          <cell r="A791" t="str">
            <v>T_B_u-ICENGA-S3</v>
          </cell>
          <cell r="B791" t="str">
            <v>VAR_fout</v>
          </cell>
          <cell r="C791" t="str">
            <v>CO2_T</v>
          </cell>
          <cell r="E791">
            <v>1.3751213571649001E-3</v>
          </cell>
          <cell r="F791">
            <v>9.4550867948096501E-3</v>
          </cell>
          <cell r="H791">
            <v>7.0857591578582903E-5</v>
          </cell>
          <cell r="I791">
            <v>7.4968677777135504E-6</v>
          </cell>
        </row>
        <row r="792">
          <cell r="A792" t="str">
            <v>T_B_u-ICENGA-S3</v>
          </cell>
          <cell r="B792" t="str">
            <v>VAR_fout</v>
          </cell>
          <cell r="C792" t="str">
            <v>TPBSu</v>
          </cell>
          <cell r="E792">
            <v>1.3756610060169451E-6</v>
          </cell>
          <cell r="F792">
            <v>9.8396983805341234E-6</v>
          </cell>
          <cell r="H792">
            <v>8.9147473562939612E-8</v>
          </cell>
          <cell r="I792">
            <v>1.03239683891103E-8</v>
          </cell>
        </row>
        <row r="793">
          <cell r="A793" t="str">
            <v>T_B_u-ICENGA-S3</v>
          </cell>
          <cell r="B793" t="str">
            <v>VAR_fin</v>
          </cell>
          <cell r="C793" t="str">
            <v>TNGA</v>
          </cell>
          <cell r="E793">
            <v>2.4381584346895456E-5</v>
          </cell>
          <cell r="F793">
            <v>1.6764338288669593E-4</v>
          </cell>
          <cell r="H793">
            <v>1.2563402762160098E-6</v>
          </cell>
          <cell r="I793">
            <v>1.32923187548113E-7</v>
          </cell>
        </row>
        <row r="794">
          <cell r="A794" t="str">
            <v>T_B_u-ICENGA-S3</v>
          </cell>
          <cell r="B794" t="str">
            <v>VAR_ncap</v>
          </cell>
          <cell r="C794" t="str">
            <v>-</v>
          </cell>
          <cell r="E794">
            <v>4.79897242118635E-8</v>
          </cell>
          <cell r="F794">
            <v>1.43852248380804E-7</v>
          </cell>
        </row>
        <row r="795">
          <cell r="A795" t="str">
            <v>T_B_u-ICENGA-S3</v>
          </cell>
          <cell r="B795" t="str">
            <v>VAR_cap</v>
          </cell>
          <cell r="C795" t="str">
            <v>-</v>
          </cell>
          <cell r="E795">
            <v>4.79897242118635E-8</v>
          </cell>
          <cell r="F795">
            <v>1.91841972592667E-7</v>
          </cell>
          <cell r="G795">
            <v>9.054259050142004E-9</v>
          </cell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18.873037648312543</v>
          </cell>
          <cell r="C9">
            <v>21.777404352733122</v>
          </cell>
          <cell r="D9">
            <v>30.507432982539122</v>
          </cell>
          <cell r="E9">
            <v>44.085772516778484</v>
          </cell>
          <cell r="F9">
            <v>62.788496725564798</v>
          </cell>
          <cell r="G9">
            <v>79.253496278336158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3.3543064861073529E-2</v>
          </cell>
          <cell r="G28">
            <v>3.3585273612433263E-2</v>
          </cell>
        </row>
      </sheetData>
      <sheetData sheetId="31"/>
      <sheetData sheetId="32"/>
      <sheetData sheetId="33">
        <row r="14">
          <cell r="B14">
            <v>82.759999999979996</v>
          </cell>
          <cell r="C14">
            <v>82.759972904714232</v>
          </cell>
          <cell r="D14">
            <v>70.327298875169021</v>
          </cell>
          <cell r="E14">
            <v>69.196991281316016</v>
          </cell>
          <cell r="F14">
            <v>32.820799657291687</v>
          </cell>
          <cell r="G14">
            <v>0</v>
          </cell>
        </row>
        <row r="15">
          <cell r="B15">
            <v>66.745679999930999</v>
          </cell>
          <cell r="C15">
            <v>49.798800988665533</v>
          </cell>
          <cell r="D15">
            <v>68.536815682906209</v>
          </cell>
          <cell r="E15">
            <v>70.225171135770708</v>
          </cell>
          <cell r="F15">
            <v>72.772887627226268</v>
          </cell>
          <cell r="G15">
            <v>69.178233945386481</v>
          </cell>
        </row>
        <row r="16">
          <cell r="B16">
            <v>66.632400240500999</v>
          </cell>
          <cell r="C16">
            <v>55.764002585785605</v>
          </cell>
          <cell r="D16">
            <v>65.54852505634905</v>
          </cell>
          <cell r="E16">
            <v>64.464360078239537</v>
          </cell>
          <cell r="F16">
            <v>62.540333935611407</v>
          </cell>
          <cell r="G16">
            <v>66.134977866950578</v>
          </cell>
        </row>
        <row r="17">
          <cell r="B17">
            <v>12.841921007910456</v>
          </cell>
          <cell r="C17">
            <v>16.033996866593</v>
          </cell>
          <cell r="D17">
            <v>47.00784574761191</v>
          </cell>
          <cell r="E17">
            <v>12.556828212808238</v>
          </cell>
          <cell r="F17">
            <v>12.736032733092003</v>
          </cell>
          <cell r="G17">
            <v>13.140745194353002</v>
          </cell>
        </row>
        <row r="18">
          <cell r="B18">
            <v>3.9600785401259067E-2</v>
          </cell>
          <cell r="C18">
            <v>1.1671129599295838E-4</v>
          </cell>
          <cell r="D18">
            <v>9.4355031355324828E-4</v>
          </cell>
          <cell r="E18">
            <v>4.2632836176461725E-4</v>
          </cell>
          <cell r="F18">
            <v>9.8006495348749241E-4</v>
          </cell>
          <cell r="G18">
            <v>3.091804900050328E-4</v>
          </cell>
        </row>
        <row r="19">
          <cell r="B19">
            <v>6.5070001123384849</v>
          </cell>
          <cell r="C19">
            <v>7.3027687840943667</v>
          </cell>
          <cell r="D19">
            <v>7.4118134631130301</v>
          </cell>
          <cell r="E19">
            <v>7.398139031785969</v>
          </cell>
          <cell r="F19">
            <v>7.6680317952603847</v>
          </cell>
          <cell r="G19">
            <v>8.0332798381494221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1.3478170840241483E-2</v>
          </cell>
          <cell r="G21">
            <v>2.308464398441846E-3</v>
          </cell>
        </row>
        <row r="22">
          <cell r="B22">
            <v>0</v>
          </cell>
          <cell r="C22">
            <v>4.3319613614401902E-4</v>
          </cell>
          <cell r="D22">
            <v>1.5676588397032761E-3</v>
          </cell>
          <cell r="E22">
            <v>1.4771381365483677E-3</v>
          </cell>
          <cell r="F22">
            <v>6.4114825029501638E-2</v>
          </cell>
          <cell r="G22">
            <v>6.8397208916249636E-3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0.96588048299927987</v>
          </cell>
          <cell r="C24">
            <v>4.708654763694575E-4</v>
          </cell>
          <cell r="D24">
            <v>8.1034328856458904E-4</v>
          </cell>
          <cell r="E24">
            <v>2.4180434176640196E-3</v>
          </cell>
          <cell r="F24">
            <v>2.1312438843493144E-3</v>
          </cell>
          <cell r="G24">
            <v>2.1138981648007488E-4</v>
          </cell>
        </row>
        <row r="25">
          <cell r="B25">
            <v>0.42735760873980477</v>
          </cell>
          <cell r="C25">
            <v>7.9079243461486828E-2</v>
          </cell>
          <cell r="D25">
            <v>1.4085777682449933E-3</v>
          </cell>
          <cell r="E25">
            <v>6.8380663580708181E-3</v>
          </cell>
          <cell r="F25">
            <v>4.1939542931122894E-3</v>
          </cell>
          <cell r="G25">
            <v>2.8098145996688383E-3</v>
          </cell>
        </row>
        <row r="26">
          <cell r="B26">
            <v>1.5176394527675467</v>
          </cell>
          <cell r="C26">
            <v>1.4122786690364333</v>
          </cell>
          <cell r="D26">
            <v>1.42749949651153</v>
          </cell>
          <cell r="E26">
            <v>1.4025301798273506</v>
          </cell>
          <cell r="F26">
            <v>1.3915548286601021</v>
          </cell>
          <cell r="G26">
            <v>1.3890410946006766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1.8007870349370926E-3</v>
          </cell>
          <cell r="C28">
            <v>7.9925855066414217E-5</v>
          </cell>
          <cell r="D28">
            <v>3.3098642038810233E-4</v>
          </cell>
          <cell r="E28">
            <v>2.2661197572200516E-4</v>
          </cell>
          <cell r="F28">
            <v>2.3703535898568753E-4</v>
          </cell>
          <cell r="G28">
            <v>7.7176475332169981E-5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3.6302123951752981E-3</v>
          </cell>
          <cell r="G29">
            <v>7.6677294029311777E-4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1.3937249907621661E-2</v>
          </cell>
          <cell r="G30">
            <v>7.5058427706234887E-2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5.0249131599624727E-3</v>
          </cell>
          <cell r="G32">
            <v>5.0324924636131977E-3</v>
          </cell>
        </row>
        <row r="33">
          <cell r="B33">
            <v>0.52400000000000047</v>
          </cell>
          <cell r="C33">
            <v>0.54529214003557536</v>
          </cell>
          <cell r="D33">
            <v>0.50317475832550185</v>
          </cell>
          <cell r="E33">
            <v>2.4898100987884928</v>
          </cell>
          <cell r="F33">
            <v>6.6692979971120971</v>
          </cell>
          <cell r="G33">
            <v>13.338572339756015</v>
          </cell>
        </row>
        <row r="34">
          <cell r="B34">
            <v>0</v>
          </cell>
          <cell r="C34">
            <v>0</v>
          </cell>
          <cell r="D34">
            <v>0.1408056027806257</v>
          </cell>
          <cell r="E34">
            <v>0.15584625171408761</v>
          </cell>
          <cell r="F34">
            <v>1.5267883493938024</v>
          </cell>
          <cell r="G34">
            <v>6.9637974184391407</v>
          </cell>
        </row>
        <row r="35">
          <cell r="B35">
            <v>3.517953999707534</v>
          </cell>
          <cell r="C35">
            <v>4.8498358001498492</v>
          </cell>
          <cell r="D35">
            <v>9.5945034499488386</v>
          </cell>
          <cell r="E35">
            <v>11.157193467520752</v>
          </cell>
          <cell r="F35">
            <v>23.249616601369251</v>
          </cell>
          <cell r="G35">
            <v>52.941630400731988</v>
          </cell>
        </row>
        <row r="36">
          <cell r="B36">
            <v>2.1349390887346629</v>
          </cell>
          <cell r="C36">
            <v>3.3906840796495485</v>
          </cell>
          <cell r="D36">
            <v>8.0481984095660764</v>
          </cell>
          <cell r="E36">
            <v>8.7799593720672053</v>
          </cell>
          <cell r="F36">
            <v>5.9842555835929954</v>
          </cell>
          <cell r="G36">
            <v>4.2225440679390346E-3</v>
          </cell>
        </row>
        <row r="37">
          <cell r="B37">
            <v>0.86248322578584768</v>
          </cell>
          <cell r="C37">
            <v>1.2876042538103001</v>
          </cell>
          <cell r="D37">
            <v>4.1841043651304028</v>
          </cell>
          <cell r="E37">
            <v>4.8672184108232539</v>
          </cell>
          <cell r="F37">
            <v>5.376442865507733</v>
          </cell>
          <cell r="G37">
            <v>5.9389441810749268</v>
          </cell>
        </row>
        <row r="38">
          <cell r="B38">
            <v>2.8396236857719668</v>
          </cell>
          <cell r="C38">
            <v>3.2944551119704646</v>
          </cell>
          <cell r="D38">
            <v>6.8323981056899878</v>
          </cell>
          <cell r="E38">
            <v>7.9480117706131743</v>
          </cell>
          <cell r="F38">
            <v>8.7795508224671206</v>
          </cell>
          <cell r="G38">
            <v>9.6980869845127362</v>
          </cell>
        </row>
        <row r="39">
          <cell r="B39">
            <v>0.66996410176003762</v>
          </cell>
          <cell r="C39">
            <v>9.1571773408390011E-2</v>
          </cell>
          <cell r="D39">
            <v>5.8274262397919815E-2</v>
          </cell>
          <cell r="E39">
            <v>0.31691070848397807</v>
          </cell>
          <cell r="F39">
            <v>5.1727535914555735E-2</v>
          </cell>
          <cell r="G39">
            <v>1.4293778279159095E-2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7.0500920903413325E-2</v>
          </cell>
          <cell r="C41">
            <v>0.17133249484474561</v>
          </cell>
          <cell r="D41">
            <v>6.169085285295093E-2</v>
          </cell>
          <cell r="E41">
            <v>0.17087862523978123</v>
          </cell>
          <cell r="F41">
            <v>2.5070455213530862E-2</v>
          </cell>
          <cell r="G41">
            <v>3.6467715995658269E-2</v>
          </cell>
        </row>
        <row r="42">
          <cell r="B42">
            <v>0.17246596002572162</v>
          </cell>
          <cell r="C42">
            <v>0.5207426948806555</v>
          </cell>
          <cell r="D42">
            <v>0.93065607905338055</v>
          </cell>
          <cell r="E42">
            <v>1.6380461097315191</v>
          </cell>
          <cell r="F42">
            <v>4.5360374275928725</v>
          </cell>
          <cell r="G42">
            <v>5.8829191865159345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0.2300437010007608</v>
          </cell>
          <cell r="C44">
            <v>0.2301576543065095</v>
          </cell>
          <cell r="D44">
            <v>0.33670653183539301</v>
          </cell>
          <cell r="E44">
            <v>0.33294551668137751</v>
          </cell>
          <cell r="F44">
            <v>0.32752479506132698</v>
          </cell>
          <cell r="G44">
            <v>0.32420046160345822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2.3624918468301702E-3</v>
          </cell>
          <cell r="F46">
            <v>1.6825901351121761E-2</v>
          </cell>
          <cell r="G46">
            <v>4.6964984478888368E-2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3.3938298852893606E-4</v>
          </cell>
          <cell r="F47">
            <v>1.8622396264710546E-3</v>
          </cell>
          <cell r="G47">
            <v>1.4362537655997539E-3</v>
          </cell>
        </row>
        <row r="48">
          <cell r="B48">
            <v>1.332653381332238E-2</v>
          </cell>
          <cell r="C48">
            <v>2.2250823603013228E-3</v>
          </cell>
          <cell r="D48">
            <v>2.4312711629433134E-3</v>
          </cell>
          <cell r="E48">
            <v>6.6516968097517365E-3</v>
          </cell>
          <cell r="F48">
            <v>2.8512217576335255E-3</v>
          </cell>
          <cell r="G48">
            <v>1.2461920573257424E-3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1.0663527594366814E-4</v>
          </cell>
          <cell r="F49">
            <v>3.540974319738008E-4</v>
          </cell>
          <cell r="G49">
            <v>2.9109842489078667E-4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4.9136297596228675E-4</v>
          </cell>
          <cell r="F50">
            <v>5.4671590802011496E-4</v>
          </cell>
          <cell r="G50">
            <v>3.1270229936984867E-4</v>
          </cell>
        </row>
        <row r="51">
          <cell r="B51">
            <v>2.7692040309013132E-2</v>
          </cell>
          <cell r="C51">
            <v>1.8247349076204319E-3</v>
          </cell>
          <cell r="D51">
            <v>1.9193081265860888E-3</v>
          </cell>
          <cell r="E51">
            <v>0.22142539806947928</v>
          </cell>
          <cell r="F51">
            <v>3.6469920042452624</v>
          </cell>
          <cell r="G51">
            <v>3.2935826448584162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4.4377836605841072E-4</v>
          </cell>
          <cell r="F52">
            <v>3.6074397949500958E-3</v>
          </cell>
          <cell r="G52">
            <v>3.0943181655309262E-3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1.1648107214398068E-3</v>
          </cell>
          <cell r="F53">
            <v>9.3608165656078736E-4</v>
          </cell>
          <cell r="G53">
            <v>5.1448821470935068E-4</v>
          </cell>
        </row>
        <row r="54">
          <cell r="B54">
            <v>0.95936563923522378</v>
          </cell>
          <cell r="C54">
            <v>1.1059498725719994</v>
          </cell>
          <cell r="D54">
            <v>1.1059497955148845</v>
          </cell>
          <cell r="E54">
            <v>1.1059496703680625</v>
          </cell>
          <cell r="F54">
            <v>1.1059520457967755</v>
          </cell>
          <cell r="G54">
            <v>1.105950779116402</v>
          </cell>
        </row>
        <row r="55">
          <cell r="B55">
            <v>0.59440001316523805</v>
          </cell>
          <cell r="C55">
            <v>0.62587810754818929</v>
          </cell>
          <cell r="D55">
            <v>1.0789271694399341E-2</v>
          </cell>
          <cell r="E55">
            <v>1.079788758465668E-2</v>
          </cell>
          <cell r="F55">
            <v>2.559142333100543E-2</v>
          </cell>
          <cell r="G55">
            <v>3.5790717973329062E-4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5.8227224515422396E-4</v>
          </cell>
          <cell r="F56">
            <v>5.3585836126340358E-4</v>
          </cell>
          <cell r="G56">
            <v>1.7290624025408286E-4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4.2754569053569545E-4</v>
          </cell>
          <cell r="F57">
            <v>5.0743764832851903E-4</v>
          </cell>
          <cell r="G57">
            <v>3.1616929270075533E-4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1.7274033920798801E-4</v>
          </cell>
          <cell r="F58">
            <v>6.7472871826918766E-3</v>
          </cell>
          <cell r="G58">
            <v>6.6822764889817709E-3</v>
          </cell>
        </row>
        <row r="70">
          <cell r="B70">
            <v>9.4513902411332562E-2</v>
          </cell>
          <cell r="C70">
            <v>5.9089510275517586E-3</v>
          </cell>
          <cell r="D70">
            <v>6.9367069511085691E-2</v>
          </cell>
          <cell r="E70">
            <v>6.9356202772801273E-2</v>
          </cell>
          <cell r="F70">
            <v>1.9828891552237007E-2</v>
          </cell>
          <cell r="G70">
            <v>9.4491915294046144E-2</v>
          </cell>
        </row>
        <row r="71">
          <cell r="B71">
            <v>1.6209043237908624E-3</v>
          </cell>
          <cell r="C71">
            <v>1.282050990940414E-3</v>
          </cell>
          <cell r="D71">
            <v>1.644142305613115E-3</v>
          </cell>
          <cell r="E71">
            <v>1.5325656675920689E-3</v>
          </cell>
          <cell r="F71">
            <v>3.5541874089659387E-3</v>
          </cell>
          <cell r="G71">
            <v>0.77386293549681462</v>
          </cell>
        </row>
        <row r="72">
          <cell r="B72">
            <v>1.4579371636791591E-3</v>
          </cell>
          <cell r="C72">
            <v>1.1513930411379855E-3</v>
          </cell>
          <cell r="D72">
            <v>1.4756982583846257E-3</v>
          </cell>
          <cell r="E72">
            <v>1.4200626455369897E-3</v>
          </cell>
          <cell r="F72">
            <v>3.3730887247353765E-3</v>
          </cell>
          <cell r="G72">
            <v>4.7041308196371187E-2</v>
          </cell>
        </row>
        <row r="73">
          <cell r="B73">
            <v>4.5588022761996913E-4</v>
          </cell>
          <cell r="C73">
            <v>4.547563665374838E-4</v>
          </cell>
          <cell r="D73">
            <v>4.5751844756875074E-4</v>
          </cell>
          <cell r="E73">
            <v>1.6430017431909563E-3</v>
          </cell>
          <cell r="F73">
            <v>2.687114885551753E-3</v>
          </cell>
          <cell r="G73">
            <v>2.14903815077123E-3</v>
          </cell>
        </row>
        <row r="74">
          <cell r="B74">
            <v>1.000265541913388E-3</v>
          </cell>
          <cell r="C74">
            <v>9.9768706029985965E-4</v>
          </cell>
          <cell r="D74">
            <v>1.006643563202258E-3</v>
          </cell>
          <cell r="E74">
            <v>8.7670250375653805E-2</v>
          </cell>
          <cell r="F74">
            <v>4.5921960981168006E-2</v>
          </cell>
          <cell r="G74">
            <v>0.22847761165139055</v>
          </cell>
        </row>
        <row r="75">
          <cell r="B75">
            <v>1.0003307659295483E-3</v>
          </cell>
          <cell r="C75">
            <v>9.9775010634188099E-4</v>
          </cell>
          <cell r="D75">
            <v>1.0077462694928019E-3</v>
          </cell>
          <cell r="E75">
            <v>9.0458468804860082E-2</v>
          </cell>
          <cell r="F75">
            <v>0.14118542764596809</v>
          </cell>
          <cell r="G75">
            <v>0.23018810483878677</v>
          </cell>
        </row>
        <row r="76">
          <cell r="B76">
            <v>4.5798565478705227E-4</v>
          </cell>
          <cell r="C76">
            <v>4.5686079856880333E-4</v>
          </cell>
          <cell r="D76">
            <v>4.5951230260605065E-4</v>
          </cell>
          <cell r="E76">
            <v>1.6870672669281168E-3</v>
          </cell>
          <cell r="F76">
            <v>2.47443921161036E-3</v>
          </cell>
          <cell r="G76">
            <v>1.7817831779878104E-3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3.7097225458447993E-5</v>
          </cell>
          <cell r="G90">
            <v>3.0025276760151741E-5</v>
          </cell>
        </row>
        <row r="91">
          <cell r="B91">
            <v>1.8035507221227052</v>
          </cell>
          <cell r="C91">
            <v>9.0479389411280732E-4</v>
          </cell>
          <cell r="D91">
            <v>1.623114590388827E-3</v>
          </cell>
          <cell r="E91">
            <v>5.1715463450212355E-3</v>
          </cell>
          <cell r="F91">
            <v>4.5091466005718105E-3</v>
          </cell>
          <cell r="G91">
            <v>4.4248684297225116E-4</v>
          </cell>
        </row>
        <row r="92">
          <cell r="B92">
            <v>1.2783822245025807</v>
          </cell>
          <cell r="C92">
            <v>0.20682394016472644</v>
          </cell>
          <cell r="D92">
            <v>0.24778865535963426</v>
          </cell>
          <cell r="E92">
            <v>1.8017986514626071E-2</v>
          </cell>
          <cell r="F92">
            <v>1.1050047776505808E-2</v>
          </cell>
          <cell r="G92">
            <v>7.3989473445145188E-3</v>
          </cell>
        </row>
        <row r="93">
          <cell r="B93">
            <v>14.159848199000601</v>
          </cell>
          <cell r="C93">
            <v>13.051647574241953</v>
          </cell>
          <cell r="D93">
            <v>13.178289001079193</v>
          </cell>
          <cell r="E93">
            <v>12.779634399579903</v>
          </cell>
          <cell r="F93">
            <v>12.034791606630549</v>
          </cell>
          <cell r="G93">
            <v>11.399073170216717</v>
          </cell>
        </row>
        <row r="94">
          <cell r="B94">
            <v>9.2611904653907718E-3</v>
          </cell>
          <cell r="C94">
            <v>4.1104725462727271E-4</v>
          </cell>
          <cell r="D94">
            <v>1.7022158762816696E-3</v>
          </cell>
          <cell r="E94">
            <v>1.165433017998883E-3</v>
          </cell>
          <cell r="F94">
            <v>1.219038989069251E-3</v>
          </cell>
          <cell r="G94">
            <v>3.9690758742258806E-4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4.6285208038485065E-3</v>
          </cell>
          <cell r="G95">
            <v>1.0159741458883812E-3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1.6923803459254805E-2</v>
          </cell>
          <cell r="G96">
            <v>9.4716587343581918E-2</v>
          </cell>
        </row>
        <row r="97">
          <cell r="B97">
            <v>1.732899571811966</v>
          </cell>
          <cell r="C97">
            <v>1.2715893639947291</v>
          </cell>
          <cell r="D97">
            <v>8.0534004155507488E-3</v>
          </cell>
          <cell r="E97">
            <v>0.57478816175284664</v>
          </cell>
          <cell r="F97">
            <v>3.7406765365158198E-4</v>
          </cell>
          <cell r="G97">
            <v>6.7980409057500176E-5</v>
          </cell>
        </row>
        <row r="98">
          <cell r="B98">
            <v>0.90177434815225721</v>
          </cell>
          <cell r="C98">
            <v>6.0258739397119891E-5</v>
          </cell>
          <cell r="D98">
            <v>4.0736928531683291E-4</v>
          </cell>
          <cell r="E98">
            <v>2.905327572914853E-4</v>
          </cell>
          <cell r="F98">
            <v>1.9526231514223615E-4</v>
          </cell>
          <cell r="G98">
            <v>1.136272131685519E-4</v>
          </cell>
        </row>
        <row r="99">
          <cell r="B99">
            <v>1.4500030857835837</v>
          </cell>
          <cell r="C99">
            <v>3.8017358422193577</v>
          </cell>
          <cell r="D99">
            <v>3.8007227666134371</v>
          </cell>
          <cell r="E99">
            <v>1.0482700908780695</v>
          </cell>
          <cell r="F99">
            <v>0</v>
          </cell>
          <cell r="G99">
            <v>0</v>
          </cell>
        </row>
        <row r="100">
          <cell r="B100">
            <v>0.18406860031035921</v>
          </cell>
          <cell r="C100">
            <v>2.0163612318194595</v>
          </cell>
          <cell r="D100">
            <v>4.8468271375182973E-4</v>
          </cell>
          <cell r="E100">
            <v>2.0082985295072589E-4</v>
          </cell>
          <cell r="F100">
            <v>1.0808568922339398E-4</v>
          </cell>
          <cell r="G100">
            <v>3.2612672102181112E-5</v>
          </cell>
        </row>
        <row r="101">
          <cell r="B101">
            <v>1.5380996049886206</v>
          </cell>
          <cell r="C101">
            <v>1.3881343211872947</v>
          </cell>
          <cell r="D101">
            <v>1.1901522151875938</v>
          </cell>
          <cell r="E101">
            <v>0.92091751758345919</v>
          </cell>
          <cell r="F101">
            <v>0.55138951008674575</v>
          </cell>
          <cell r="G101">
            <v>0.33013840098906067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1.774501054923592E-5</v>
          </cell>
          <cell r="F102">
            <v>2.0816057202165292E-5</v>
          </cell>
          <cell r="G102">
            <v>2.1028340592726036E-5</v>
          </cell>
        </row>
        <row r="103">
          <cell r="F103">
            <v>5.8587026011682898E-2</v>
          </cell>
          <cell r="G103">
            <v>1.5798386519070631E-2</v>
          </cell>
        </row>
        <row r="104">
          <cell r="B104">
            <v>0.92933032099954038</v>
          </cell>
          <cell r="C104">
            <v>2.07060603227966</v>
          </cell>
          <cell r="D104">
            <v>0.64408604060841235</v>
          </cell>
          <cell r="E104">
            <v>1.3156405144628802</v>
          </cell>
          <cell r="F104">
            <v>5.5574178558744781E-2</v>
          </cell>
          <cell r="G104">
            <v>8.0838714060464598E-2</v>
          </cell>
        </row>
        <row r="105">
          <cell r="B105">
            <v>0.65958369294156327</v>
          </cell>
          <cell r="C105">
            <v>1.8135486835555503</v>
          </cell>
          <cell r="D105">
            <v>2.7639614845893288</v>
          </cell>
          <cell r="E105">
            <v>3.4650975398166826</v>
          </cell>
          <cell r="F105">
            <v>9.5954637891387868</v>
          </cell>
          <cell r="G105">
            <v>12.444636740706802</v>
          </cell>
        </row>
        <row r="106">
          <cell r="B106">
            <v>1.9348106609507449</v>
          </cell>
          <cell r="C106">
            <v>1.8587679192142668</v>
          </cell>
          <cell r="D106">
            <v>2.5502914993972658</v>
          </cell>
          <cell r="E106">
            <v>2.2433304809399512</v>
          </cell>
          <cell r="F106">
            <v>1.658925838447634</v>
          </cell>
          <cell r="G106">
            <v>1.0997681386292535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1.69691494264468E-4</v>
          </cell>
          <cell r="F107">
            <v>8.3715359355120828E-4</v>
          </cell>
          <cell r="G107">
            <v>5.7954099313674409E-4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1.7659029966205319E-3</v>
          </cell>
          <cell r="F108">
            <v>1.0095540810673048E-2</v>
          </cell>
          <cell r="G108">
            <v>2.3482492239444184E-2</v>
          </cell>
        </row>
        <row r="109">
          <cell r="B109">
            <v>3.448676089902443E-2</v>
          </cell>
          <cell r="C109">
            <v>5.4781483417399943E-3</v>
          </cell>
          <cell r="D109">
            <v>8.2806221739300176E-3</v>
          </cell>
          <cell r="E109">
            <v>1.6850910292602814E-2</v>
          </cell>
          <cell r="F109">
            <v>2.8555105644717603E-2</v>
          </cell>
          <cell r="G109">
            <v>1.9430445810344029E-2</v>
          </cell>
        </row>
        <row r="110">
          <cell r="B110">
            <v>9.558943092599024E-5</v>
          </cell>
          <cell r="C110">
            <v>1.1404813464839068E-4</v>
          </cell>
          <cell r="D110">
            <v>5.5291240696020037E-5</v>
          </cell>
          <cell r="E110">
            <v>2.3063562753254212E-3</v>
          </cell>
          <cell r="F110">
            <v>5.0887275376026997E-3</v>
          </cell>
          <cell r="G110">
            <v>4.3043322296930156E-3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8.2189632509961516E-2</v>
          </cell>
          <cell r="C112">
            <v>4.0909185275329347E-3</v>
          </cell>
          <cell r="D112">
            <v>6.9068456263758956E-3</v>
          </cell>
          <cell r="E112">
            <v>0.4608024439372575</v>
          </cell>
          <cell r="F112">
            <v>35.192418505521317</v>
          </cell>
          <cell r="G112">
            <v>42.356670071132612</v>
          </cell>
        </row>
        <row r="113">
          <cell r="B113">
            <v>1.0769747028891444E-4</v>
          </cell>
          <cell r="C113">
            <v>1.1401353860546697E-4</v>
          </cell>
          <cell r="D113">
            <v>6.1078878055243044E-5</v>
          </cell>
          <cell r="E113">
            <v>4.2627747268177358E-3</v>
          </cell>
          <cell r="F113">
            <v>8.1433725893538134E-3</v>
          </cell>
          <cell r="G113">
            <v>6.8471043360002742E-3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1.4243098968046417</v>
          </cell>
          <cell r="C115">
            <v>1.5783326282880454</v>
          </cell>
          <cell r="D115">
            <v>1.4829300180654492</v>
          </cell>
          <cell r="E115">
            <v>1.3239257011659689</v>
          </cell>
          <cell r="F115">
            <v>1.0059194961993136</v>
          </cell>
          <cell r="G115">
            <v>1.0059183546857073</v>
          </cell>
        </row>
        <row r="116">
          <cell r="B116">
            <v>0.69257875051370332</v>
          </cell>
          <cell r="C116">
            <v>0.75021227011758773</v>
          </cell>
          <cell r="D116">
            <v>1.3474501629118139E-2</v>
          </cell>
          <cell r="E116">
            <v>1.4389118351624925E-2</v>
          </cell>
          <cell r="F116">
            <v>3.8387155893263726E-2</v>
          </cell>
          <cell r="G116">
            <v>5.3700253677756312E-4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9.3056911192281944E-4</v>
          </cell>
          <cell r="F117">
            <v>8.1947846427180059E-4</v>
          </cell>
          <cell r="G117">
            <v>2.5392942303324338E-4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5.1527947882930712E-5</v>
          </cell>
          <cell r="F118">
            <v>1.991002775220557E-3</v>
          </cell>
          <cell r="G118">
            <v>1.9398430280936209E-3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3.2178438814002314E-4</v>
          </cell>
          <cell r="F119">
            <v>3.19328704308372E-4</v>
          </cell>
          <cell r="G119">
            <v>1.7849518777038735E-4</v>
          </cell>
        </row>
        <row r="123">
          <cell r="B123">
            <v>0</v>
          </cell>
          <cell r="C123">
            <v>3.8077027256651288</v>
          </cell>
          <cell r="D123">
            <v>5.1720431412476646</v>
          </cell>
          <cell r="E123">
            <v>10.823925581027291</v>
          </cell>
          <cell r="F123">
            <v>14.458150700225582</v>
          </cell>
          <cell r="G123">
            <v>17.237412103448559</v>
          </cell>
        </row>
      </sheetData>
      <sheetData sheetId="34">
        <row r="13">
          <cell r="B13">
            <v>16.052401314705218</v>
          </cell>
          <cell r="C13">
            <v>20.042497643000324</v>
          </cell>
          <cell r="D13">
            <v>58.759807501788949</v>
          </cell>
          <cell r="E13">
            <v>15.69603453794338</v>
          </cell>
          <cell r="F13">
            <v>15.920036913342878</v>
          </cell>
          <cell r="G13">
            <v>16.425928780406593</v>
          </cell>
        </row>
        <row r="14">
          <cell r="B14">
            <v>250.94817287120784</v>
          </cell>
          <cell r="C14">
            <v>253.29982394302306</v>
          </cell>
          <cell r="D14">
            <v>215.81778844219883</v>
          </cell>
          <cell r="E14">
            <v>209.65777564127052</v>
          </cell>
          <cell r="F14">
            <v>98.94549837349372</v>
          </cell>
          <cell r="G14">
            <v>0</v>
          </cell>
        </row>
        <row r="15">
          <cell r="B15">
            <v>66.745679999930999</v>
          </cell>
          <cell r="C15">
            <v>49.798800988665533</v>
          </cell>
          <cell r="D15">
            <v>68.536815682906209</v>
          </cell>
          <cell r="E15">
            <v>70.225171135770708</v>
          </cell>
          <cell r="F15">
            <v>72.772887627226268</v>
          </cell>
          <cell r="G15">
            <v>69.178233945386481</v>
          </cell>
        </row>
        <row r="16">
          <cell r="B16">
            <v>66.632400240500999</v>
          </cell>
          <cell r="C16">
            <v>55.764002585785605</v>
          </cell>
          <cell r="D16">
            <v>65.54852505634905</v>
          </cell>
          <cell r="E16">
            <v>64.464360078239537</v>
          </cell>
          <cell r="F16">
            <v>62.540333935611407</v>
          </cell>
          <cell r="G16">
            <v>66.134977866950578</v>
          </cell>
        </row>
        <row r="18">
          <cell r="B18">
            <v>0.11568658548585721</v>
          </cell>
          <cell r="C18">
            <v>9.5334142777929454E-4</v>
          </cell>
          <cell r="D18">
            <v>3.5039537551136216E-3</v>
          </cell>
          <cell r="E18">
            <v>1.4988103314107512E-3</v>
          </cell>
          <cell r="F18">
            <v>3.0452770506633644E-3</v>
          </cell>
          <cell r="G18">
            <v>9.9776914928213041E-4</v>
          </cell>
        </row>
        <row r="19">
          <cell r="B19">
            <v>18.203590792933127</v>
          </cell>
          <cell r="C19">
            <v>20.429785201476637</v>
          </cell>
          <cell r="D19">
            <v>20.734842014252589</v>
          </cell>
          <cell r="E19">
            <v>20.696587250474163</v>
          </cell>
          <cell r="F19">
            <v>21.451622956551038</v>
          </cell>
          <cell r="G19">
            <v>22.473418837277165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2.199021605265692E-2</v>
          </cell>
          <cell r="G21">
            <v>3.8472117343576529E-3</v>
          </cell>
        </row>
        <row r="22">
          <cell r="B22">
            <v>0</v>
          </cell>
          <cell r="C22">
            <v>1.5321181484580656E-3</v>
          </cell>
          <cell r="D22">
            <v>5.1074836343770981E-3</v>
          </cell>
          <cell r="E22">
            <v>3.934488730493649E-3</v>
          </cell>
          <cell r="F22">
            <v>0.15511061503943521</v>
          </cell>
          <cell r="G22">
            <v>1.6557927232339998E-2</v>
          </cell>
          <cell r="L22">
            <v>2.5522951490856656</v>
          </cell>
          <cell r="M22">
            <v>0.94396388505520012</v>
          </cell>
          <cell r="N22">
            <v>6.308768253013565E-2</v>
          </cell>
          <cell r="O22">
            <v>0.63440350152820679</v>
          </cell>
          <cell r="P22">
            <v>3.4491606631910328</v>
          </cell>
          <cell r="Q22">
            <v>2.9708490589323273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9.0084832855036307E-5</v>
          </cell>
          <cell r="G23">
            <v>3.614316217596877E-5</v>
          </cell>
          <cell r="L23">
            <v>6.7522192116484067E-2</v>
          </cell>
          <cell r="M23">
            <v>2.9825818951143612E-2</v>
          </cell>
          <cell r="N23">
            <v>2.1480778337993607E-3</v>
          </cell>
          <cell r="O23">
            <v>1.9441165944334954E-2</v>
          </cell>
          <cell r="P23">
            <v>1.2074542186353319E-2</v>
          </cell>
          <cell r="Q23">
            <v>1.3893828311184079E-2</v>
          </cell>
        </row>
        <row r="24">
          <cell r="B24">
            <v>3.6714743510976215</v>
          </cell>
          <cell r="C24">
            <v>2.3367620459864842E-3</v>
          </cell>
          <cell r="D24">
            <v>4.4795704882543107E-3</v>
          </cell>
          <cell r="E24">
            <v>1.0118355671293936E-2</v>
          </cell>
          <cell r="F24">
            <v>8.8253488200171898E-3</v>
          </cell>
          <cell r="G24">
            <v>9.6449259399571715E-4</v>
          </cell>
        </row>
        <row r="25">
          <cell r="B25">
            <v>1.7520868517267745</v>
          </cell>
          <cell r="C25">
            <v>0.31617743839215601</v>
          </cell>
          <cell r="D25">
            <v>6.2309952640724822E-3</v>
          </cell>
          <cell r="E25">
            <v>2.5047728319245201E-2</v>
          </cell>
          <cell r="F25">
            <v>1.3853133311710114E-2</v>
          </cell>
          <cell r="G25">
            <v>9.2692314016159724E-3</v>
          </cell>
        </row>
        <row r="26">
          <cell r="B26">
            <v>39.679276241708116</v>
          </cell>
          <cell r="C26">
            <v>37.439714664093962</v>
          </cell>
          <cell r="D26">
            <v>37.494347793360205</v>
          </cell>
          <cell r="E26">
            <v>37.206400348614856</v>
          </cell>
          <cell r="F26">
            <v>36.748425807752767</v>
          </cell>
          <cell r="G26">
            <v>36.279307980627721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1.8690518063402349E-2</v>
          </cell>
          <cell r="C28">
            <v>1.342175405129194E-3</v>
          </cell>
          <cell r="D28">
            <v>3.677014442995453E-3</v>
          </cell>
          <cell r="E28">
            <v>2.2886792205711482E-3</v>
          </cell>
          <cell r="F28">
            <v>2.2769501686719239E-3</v>
          </cell>
          <cell r="G28">
            <v>7.6349868744827283E-4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9.0755309879382347E-3</v>
          </cell>
          <cell r="G29">
            <v>1.9169323507327953E-3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3.3183928351480152E-2</v>
          </cell>
          <cell r="G30">
            <v>0.17871054215770213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1.1771180140668527E-4</v>
          </cell>
          <cell r="G31">
            <v>6.1380183054278778E-5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3.3499421066416533E-2</v>
          </cell>
          <cell r="G32">
            <v>3.3549949757421323E-2</v>
          </cell>
        </row>
        <row r="33">
          <cell r="B33">
            <v>0.52400000000000047</v>
          </cell>
          <cell r="C33">
            <v>0.54529214003557536</v>
          </cell>
          <cell r="D33">
            <v>0.50317475832550185</v>
          </cell>
          <cell r="E33">
            <v>2.4898100987884928</v>
          </cell>
          <cell r="F33">
            <v>6.6692979971120971</v>
          </cell>
          <cell r="G33">
            <v>13.338572339756015</v>
          </cell>
        </row>
        <row r="34">
          <cell r="B34">
            <v>0</v>
          </cell>
          <cell r="C34">
            <v>0</v>
          </cell>
          <cell r="D34">
            <v>0.1408056027806257</v>
          </cell>
          <cell r="E34">
            <v>0.15584625171408761</v>
          </cell>
          <cell r="F34">
            <v>1.5267883493938024</v>
          </cell>
          <cell r="G34">
            <v>6.9637974184391407</v>
          </cell>
        </row>
        <row r="35">
          <cell r="B35">
            <v>3.517953999707534</v>
          </cell>
          <cell r="C35">
            <v>4.8498358001498492</v>
          </cell>
          <cell r="D35">
            <v>9.5945034499488386</v>
          </cell>
          <cell r="E35">
            <v>11.157193467520752</v>
          </cell>
          <cell r="F35">
            <v>23.249616601369251</v>
          </cell>
          <cell r="G35">
            <v>52.941630400731988</v>
          </cell>
        </row>
        <row r="36">
          <cell r="B36">
            <v>2.1349390887346629</v>
          </cell>
          <cell r="C36">
            <v>3.3906840796495485</v>
          </cell>
          <cell r="D36">
            <v>8.0481984095660764</v>
          </cell>
          <cell r="E36">
            <v>8.7799593720672053</v>
          </cell>
          <cell r="F36">
            <v>5.9842555835929954</v>
          </cell>
          <cell r="G36">
            <v>4.2225440679390346E-3</v>
          </cell>
        </row>
        <row r="37">
          <cell r="B37">
            <v>0.86248322578584768</v>
          </cell>
          <cell r="C37">
            <v>1.2876042538103001</v>
          </cell>
          <cell r="D37">
            <v>4.1841043651304028</v>
          </cell>
          <cell r="E37">
            <v>4.8672184108232539</v>
          </cell>
          <cell r="F37">
            <v>5.376442865507733</v>
          </cell>
          <cell r="G37">
            <v>5.9389441810749268</v>
          </cell>
        </row>
        <row r="38">
          <cell r="B38">
            <v>2.8396236857719668</v>
          </cell>
          <cell r="C38">
            <v>3.2944551119704646</v>
          </cell>
          <cell r="D38">
            <v>6.8323981056899878</v>
          </cell>
          <cell r="E38">
            <v>7.9480117706131743</v>
          </cell>
          <cell r="F38">
            <v>8.7795508224671206</v>
          </cell>
          <cell r="G38">
            <v>9.6980869845127362</v>
          </cell>
        </row>
        <row r="39">
          <cell r="B39">
            <v>1.9172774680984599</v>
          </cell>
          <cell r="C39">
            <v>0.2604449668910343</v>
          </cell>
          <cell r="D39">
            <v>0.16517884379913891</v>
          </cell>
          <cell r="E39">
            <v>0.88043406546538183</v>
          </cell>
          <cell r="F39">
            <v>0.14511102913199417</v>
          </cell>
          <cell r="G39">
            <v>4.0144855675456448E-2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7.7096952373096071E-5</v>
          </cell>
          <cell r="G40">
            <v>4.4412265974316994E-5</v>
          </cell>
        </row>
        <row r="41">
          <cell r="B41">
            <v>0.29263361093134482</v>
          </cell>
          <cell r="C41">
            <v>0.69481007539400408</v>
          </cell>
          <cell r="D41">
            <v>0.24491985846516512</v>
          </cell>
          <cell r="E41">
            <v>0.64948079088305999</v>
          </cell>
          <cell r="F41">
            <v>9.7696334651430627E-2</v>
          </cell>
          <cell r="G41">
            <v>0.13915331608386303</v>
          </cell>
        </row>
        <row r="42">
          <cell r="B42">
            <v>0.87269936152056027</v>
          </cell>
          <cell r="C42">
            <v>2.306061370509406</v>
          </cell>
          <cell r="D42">
            <v>4.5222899692885878</v>
          </cell>
          <cell r="E42">
            <v>4.8393790150365534</v>
          </cell>
          <cell r="F42">
            <v>12.847830194626273</v>
          </cell>
          <cell r="G42">
            <v>16.002728702908154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1.1737768484543066E-4</v>
          </cell>
          <cell r="G43">
            <v>6.1363959274520714E-5</v>
          </cell>
        </row>
        <row r="44">
          <cell r="B44">
            <v>3.7119614271870538</v>
          </cell>
          <cell r="C44">
            <v>3.7138485785365507</v>
          </cell>
          <cell r="D44">
            <v>5.4331471827147624</v>
          </cell>
          <cell r="E44">
            <v>5.3724588771544326</v>
          </cell>
          <cell r="F44">
            <v>5.2849892987125831</v>
          </cell>
          <cell r="G44">
            <v>5.2313473546060383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4.7727108016771009E-3</v>
          </cell>
          <cell r="F46">
            <v>3.0592547911130478E-2</v>
          </cell>
          <cell r="G46">
            <v>7.8274974131480643E-2</v>
          </cell>
        </row>
        <row r="47">
          <cell r="B47">
            <v>0</v>
          </cell>
        </row>
        <row r="48">
          <cell r="B48">
            <v>5.59324455490261E-2</v>
          </cell>
          <cell r="C48">
            <v>8.2561906681092329E-3</v>
          </cell>
          <cell r="D48">
            <v>1.1054908727036718E-2</v>
          </cell>
          <cell r="E48">
            <v>2.5000219313574157E-2</v>
          </cell>
          <cell r="F48">
            <v>1.1954539254619515E-2</v>
          </cell>
          <cell r="G48">
            <v>5.0096505204866044E-3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2.5389351415159076E-4</v>
          </cell>
          <cell r="F49">
            <v>8.0476689084954772E-4</v>
          </cell>
          <cell r="G49">
            <v>6.4688538864619317E-4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2.6484842361971309E-3</v>
          </cell>
          <cell r="F50">
            <v>2.6338870867231965E-3</v>
          </cell>
          <cell r="G50">
            <v>1.4338795172048197E-3</v>
          </cell>
        </row>
        <row r="51">
          <cell r="B51">
            <v>0.10191668815956978</v>
          </cell>
          <cell r="C51">
            <v>6.3206787682140754E-3</v>
          </cell>
          <cell r="D51">
            <v>8.5787809015430566E-3</v>
          </cell>
          <cell r="E51">
            <v>0.73925224109532928</v>
          </cell>
          <cell r="F51">
            <v>12.014840112201234</v>
          </cell>
          <cell r="G51">
            <v>10.674889170708694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1.0566151572819311E-3</v>
          </cell>
          <cell r="F52">
            <v>8.1987268067047619E-3</v>
          </cell>
          <cell r="G52">
            <v>6.8762625900687258E-3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5.0589119962697118E-3</v>
          </cell>
          <cell r="F53">
            <v>3.9073933815771253E-3</v>
          </cell>
          <cell r="G53">
            <v>2.0644484956892136E-3</v>
          </cell>
        </row>
        <row r="54">
          <cell r="B54">
            <v>2.6453751496092268</v>
          </cell>
          <cell r="C54">
            <v>3.0461082666917774</v>
          </cell>
          <cell r="D54">
            <v>3.0421420061964355</v>
          </cell>
          <cell r="E54">
            <v>3.0322965969739273</v>
          </cell>
          <cell r="F54">
            <v>2.9495800149155924</v>
          </cell>
          <cell r="G54">
            <v>2.8713306201170341</v>
          </cell>
        </row>
        <row r="55">
          <cell r="B55">
            <v>1.6566656267506841</v>
          </cell>
          <cell r="C55">
            <v>1.7385764803840971</v>
          </cell>
          <cell r="D55">
            <v>3.1158440035846374E-2</v>
          </cell>
          <cell r="E55">
            <v>3.0707835707570498E-2</v>
          </cell>
          <cell r="F55">
            <v>7.1849784000566838E-2</v>
          </cell>
          <cell r="G55">
            <v>1.4044882172959726E-3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2.0702075203855841E-3</v>
          </cell>
          <cell r="F56">
            <v>1.7897770688435305E-3</v>
          </cell>
          <cell r="G56">
            <v>6.2370860095721081E-4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9.0009619060146448E-4</v>
          </cell>
          <cell r="F57">
            <v>9.4007878095962759E-4</v>
          </cell>
          <cell r="G57">
            <v>5.5009866665752406E-4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2.8790056534664635E-4</v>
          </cell>
          <cell r="F58">
            <v>1.1061126529003075E-2</v>
          </cell>
          <cell r="G58">
            <v>1.0777865304809297E-2</v>
          </cell>
        </row>
        <row r="63">
          <cell r="B63">
            <v>0.13502405841572682</v>
          </cell>
          <cell r="C63">
            <v>8.4435000330121222E-3</v>
          </cell>
          <cell r="D63">
            <v>9.9096128133169245E-2</v>
          </cell>
          <cell r="E63">
            <v>9.9080940439404047E-2</v>
          </cell>
          <cell r="F63">
            <v>2.8329846775653943E-2</v>
          </cell>
          <cell r="G63">
            <v>0.13499045070608531</v>
          </cell>
        </row>
        <row r="64">
          <cell r="B64">
            <v>1.87436790189795E-3</v>
          </cell>
          <cell r="C64">
            <v>1.4824442228681524E-3</v>
          </cell>
          <cell r="D64">
            <v>1.8963246804154911E-3</v>
          </cell>
          <cell r="E64">
            <v>1.7680793475544966E-3</v>
          </cell>
          <cell r="F64">
            <v>4.1014094120124626E-3</v>
          </cell>
          <cell r="G64">
            <v>0.89253646487804017</v>
          </cell>
        </row>
        <row r="65">
          <cell r="B65">
            <v>1.6305727844653792E-3</v>
          </cell>
          <cell r="C65">
            <v>1.2880024545846506E-3</v>
          </cell>
          <cell r="D65">
            <v>1.6507224944703916E-3</v>
          </cell>
          <cell r="E65">
            <v>1.5881520452541908E-3</v>
          </cell>
          <cell r="F65">
            <v>3.772826528100238E-3</v>
          </cell>
          <cell r="G65">
            <v>5.2604042316424293E-2</v>
          </cell>
        </row>
        <row r="66">
          <cell r="B66">
            <v>5.0589103448395059E-4</v>
          </cell>
          <cell r="C66">
            <v>5.0478232612025694E-4</v>
          </cell>
          <cell r="D66">
            <v>5.061731859086323E-4</v>
          </cell>
          <cell r="E66">
            <v>1.8171444940869696E-3</v>
          </cell>
          <cell r="F66">
            <v>2.9718111595252719E-3</v>
          </cell>
          <cell r="G66">
            <v>2.3766920943462315E-3</v>
          </cell>
        </row>
        <row r="67">
          <cell r="B67">
            <v>1.1096567286190398E-3</v>
          </cell>
          <cell r="C67">
            <v>1.1069616362523003E-3</v>
          </cell>
          <cell r="D67">
            <v>1.1136230983635042E-3</v>
          </cell>
          <cell r="E67">
            <v>9.6951857217236259E-2</v>
          </cell>
          <cell r="F67">
            <v>5.0784006998184188E-2</v>
          </cell>
          <cell r="G67">
            <v>0.25266575865511237</v>
          </cell>
        </row>
        <row r="68">
          <cell r="B68">
            <v>1.1097288575624264E-3</v>
          </cell>
          <cell r="C68">
            <v>1.107036237180723E-3</v>
          </cell>
          <cell r="D68">
            <v>1.1147432343041241E-3</v>
          </cell>
          <cell r="E68">
            <v>0.10003524463831556</v>
          </cell>
          <cell r="F68">
            <v>0.15613250998260633</v>
          </cell>
          <cell r="G68">
            <v>0.25455732570584133</v>
          </cell>
        </row>
        <row r="69">
          <cell r="B69">
            <v>5.0821935226933953E-4</v>
          </cell>
          <cell r="C69">
            <v>5.0704072345211771E-4</v>
          </cell>
          <cell r="D69">
            <v>5.085401540163519E-4</v>
          </cell>
          <cell r="E69">
            <v>1.865876096690528E-3</v>
          </cell>
          <cell r="F69">
            <v>2.7367048605710831E-3</v>
          </cell>
          <cell r="G69">
            <v>1.9705963286369794E-3</v>
          </cell>
        </row>
        <row r="90">
          <cell r="B90">
            <v>2.0280758486723762</v>
          </cell>
          <cell r="C90">
            <v>1.4881876136941019</v>
          </cell>
          <cell r="D90">
            <v>9.425189519429826E-3</v>
          </cell>
          <cell r="E90">
            <v>0.67269564140686966</v>
          </cell>
          <cell r="F90">
            <v>4.3778507795871039E-4</v>
          </cell>
          <cell r="G90">
            <v>7.9559962986328796E-5</v>
          </cell>
        </row>
        <row r="91">
          <cell r="B91">
            <v>1.1839500683485047</v>
          </cell>
          <cell r="C91">
            <v>7.9114402371278266E-5</v>
          </cell>
          <cell r="D91">
            <v>5.3483989002591685E-4</v>
          </cell>
          <cell r="E91">
            <v>3.8144384851658634E-4</v>
          </cell>
          <cell r="F91">
            <v>2.5636217290082495E-4</v>
          </cell>
          <cell r="G91">
            <v>1.4918249457062955E-4</v>
          </cell>
        </row>
        <row r="92">
          <cell r="B92">
            <v>1.4500030857835837</v>
          </cell>
          <cell r="C92">
            <v>3.8017358422193577</v>
          </cell>
          <cell r="D92">
            <v>3.8007227666134371</v>
          </cell>
          <cell r="E92">
            <v>1.0482700908780695</v>
          </cell>
          <cell r="F92">
            <v>0</v>
          </cell>
          <cell r="G92">
            <v>0</v>
          </cell>
        </row>
        <row r="93">
          <cell r="B93">
            <v>0.21542222576581893</v>
          </cell>
          <cell r="C93">
            <v>2.359821413180001</v>
          </cell>
          <cell r="D93">
            <v>5.6724193485791548E-4</v>
          </cell>
          <cell r="E93">
            <v>2.3503853373101739E-4</v>
          </cell>
          <cell r="F93">
            <v>1.2649664150581215E-4</v>
          </cell>
          <cell r="G93">
            <v>3.8167804832420892E-5</v>
          </cell>
        </row>
        <row r="94">
          <cell r="B94">
            <v>2.1972851499837467</v>
          </cell>
          <cell r="C94">
            <v>1.9830490302675643</v>
          </cell>
          <cell r="D94">
            <v>1.7002174502679912</v>
          </cell>
          <cell r="E94">
            <v>1.3155964536906561</v>
          </cell>
          <cell r="F94">
            <v>0.78769930012392286</v>
          </cell>
          <cell r="G94">
            <v>0.47162628712722943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1.774501054923592E-5</v>
          </cell>
          <cell r="F95">
            <v>2.0816057202165292E-5</v>
          </cell>
          <cell r="G95">
            <v>2.1028340592726036E-5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4.3643794656997623E-5</v>
          </cell>
          <cell r="G96">
            <v>3.5323855011943245E-5</v>
          </cell>
        </row>
        <row r="97">
          <cell r="B97">
            <v>0</v>
          </cell>
          <cell r="C97">
            <v>1.269234241888376</v>
          </cell>
          <cell r="D97">
            <v>1.7240143804158863</v>
          </cell>
          <cell r="E97">
            <v>3.6079751936757676</v>
          </cell>
          <cell r="F97">
            <v>4.8193835667418634</v>
          </cell>
          <cell r="G97">
            <v>5.7458040344828545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7.3405181668791197</v>
          </cell>
          <cell r="D15">
            <v>7.3430481285267621</v>
          </cell>
          <cell r="E15">
            <v>7.4150705009849096</v>
          </cell>
          <cell r="F15">
            <v>7.5848263543768057</v>
          </cell>
          <cell r="G15">
            <v>7.6722275175359718</v>
          </cell>
        </row>
        <row r="16">
          <cell r="B16">
            <v>4.7247299999999992</v>
          </cell>
          <cell r="C16">
            <v>4.807258775195594</v>
          </cell>
          <cell r="D16">
            <v>4.8583456629745818</v>
          </cell>
          <cell r="E16">
            <v>4.8621566896145207</v>
          </cell>
          <cell r="F16">
            <v>4.8796127848516244</v>
          </cell>
          <cell r="G16">
            <v>5.2950059965495413</v>
          </cell>
        </row>
        <row r="17">
          <cell r="B17">
            <v>3.3394499999999998</v>
          </cell>
          <cell r="C17">
            <v>3.9711766677273683</v>
          </cell>
          <cell r="D17">
            <v>4.3595980805176575</v>
          </cell>
          <cell r="E17">
            <v>4.3595982092701622</v>
          </cell>
          <cell r="F17">
            <v>4.3595993200421388</v>
          </cell>
          <cell r="G17">
            <v>4.3595994817886456</v>
          </cell>
        </row>
        <row r="18">
          <cell r="B18">
            <v>1.0496743960131005E-2</v>
          </cell>
          <cell r="C18">
            <v>7.3386194271395089E-4</v>
          </cell>
          <cell r="D18">
            <v>7.3001541924561791E-4</v>
          </cell>
          <cell r="E18">
            <v>7.2934086473993003E-4</v>
          </cell>
          <cell r="F18">
            <v>9.6374135356846243E-4</v>
          </cell>
          <cell r="G18">
            <v>2.3980733811629839E-4</v>
          </cell>
        </row>
        <row r="19">
          <cell r="B19">
            <v>0.27650330230654618</v>
          </cell>
          <cell r="C19">
            <v>0.27650236307785675</v>
          </cell>
          <cell r="D19">
            <v>0.27650242428298366</v>
          </cell>
          <cell r="E19">
            <v>0.2759923293337761</v>
          </cell>
          <cell r="F19">
            <v>0.30324275499713516</v>
          </cell>
          <cell r="G19">
            <v>0.31818832624875659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1.2280689545260701E-3</v>
          </cell>
          <cell r="G21">
            <v>2.8493224144825592E-4</v>
          </cell>
        </row>
        <row r="22">
          <cell r="B22">
            <v>0</v>
          </cell>
          <cell r="C22">
            <v>0.25000006596638402</v>
          </cell>
          <cell r="D22">
            <v>5.2064234220948996E-2</v>
          </cell>
          <cell r="E22">
            <v>5.2058785075667996E-2</v>
          </cell>
          <cell r="F22">
            <v>5.5322540229197997E-2</v>
          </cell>
          <cell r="G22">
            <v>1.2739909856958706E-2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4.5928481144875397E-2</v>
          </cell>
          <cell r="C24">
            <v>1.6058335086312214E-4</v>
          </cell>
          <cell r="D24">
            <v>2.419212750470745E-4</v>
          </cell>
          <cell r="E24">
            <v>2.6310662611529756E-4</v>
          </cell>
          <cell r="F24">
            <v>2.3159161237793432E-4</v>
          </cell>
          <cell r="G24">
            <v>7.1454145441633791E-5</v>
          </cell>
        </row>
        <row r="25">
          <cell r="B25">
            <v>1.5946611432723204E-2</v>
          </cell>
          <cell r="C25">
            <v>2.9656249565228401E-3</v>
          </cell>
          <cell r="D25">
            <v>2.5559913246112759E-4</v>
          </cell>
          <cell r="E25">
            <v>2.5583567323214998E-4</v>
          </cell>
          <cell r="F25">
            <v>2.2876105867653007E-4</v>
          </cell>
          <cell r="G25">
            <v>1.9074670103001458E-4</v>
          </cell>
        </row>
        <row r="26">
          <cell r="B26">
            <v>7.6766282780275336E-2</v>
          </cell>
          <cell r="C26">
            <v>7.2061294144006222E-2</v>
          </cell>
          <cell r="D26">
            <v>7.2061166937911675E-2</v>
          </cell>
          <cell r="E26">
            <v>7.0489711430718888E-2</v>
          </cell>
          <cell r="F26">
            <v>7.0079136137340223E-2</v>
          </cell>
          <cell r="G26">
            <v>7.0293025598927195E-2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B28">
            <v>1.40319951953948E-3</v>
          </cell>
          <cell r="C28">
            <v>3.3711446614686537E-4</v>
          </cell>
          <cell r="D28">
            <v>3.0067183080122184E-4</v>
          </cell>
          <cell r="E28">
            <v>2.3093794926272275E-4</v>
          </cell>
          <cell r="F28">
            <v>8.8096745058900282E-5</v>
          </cell>
          <cell r="G28">
            <v>4.5943337072656811E-5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1.44722522194807E-4</v>
          </cell>
          <cell r="G29">
            <v>1.446592087706958E-4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1.76760686543714E-3</v>
          </cell>
          <cell r="G30">
            <v>1.0095463708598736E-2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1.99449466818926E-4</v>
          </cell>
          <cell r="G32">
            <v>1.9972824753720101E-4</v>
          </cell>
        </row>
        <row r="33">
          <cell r="B33">
            <v>8.7120000000000003E-2</v>
          </cell>
          <cell r="C33">
            <v>9.0660021450189601E-2</v>
          </cell>
          <cell r="D33">
            <v>8.3657612999795433E-2</v>
          </cell>
          <cell r="E33">
            <v>0.41395469282077829</v>
          </cell>
          <cell r="F33">
            <v>1.1088353293852369</v>
          </cell>
          <cell r="G33">
            <v>2.2176656434215598</v>
          </cell>
        </row>
        <row r="34">
          <cell r="B34">
            <v>0</v>
          </cell>
          <cell r="C34">
            <v>0</v>
          </cell>
          <cell r="D34">
            <v>4.4925430892441602E-2</v>
          </cell>
          <cell r="E34">
            <v>4.4925998583222826E-2</v>
          </cell>
          <cell r="F34">
            <v>0.44012957018013682</v>
          </cell>
          <cell r="G34">
            <v>2.0075020642676682</v>
          </cell>
        </row>
        <row r="35">
          <cell r="B35">
            <v>1.1186210000000001</v>
          </cell>
          <cell r="C35">
            <v>1.6529270399486307</v>
          </cell>
          <cell r="D35">
            <v>3.0611868585055797</v>
          </cell>
          <cell r="E35">
            <v>3.2173382451385999</v>
          </cell>
          <cell r="F35">
            <v>6.7043611880634666</v>
          </cell>
          <cell r="G35">
            <v>15.266477778206299</v>
          </cell>
        </row>
        <row r="36">
          <cell r="B36">
            <v>0.67885700000000004</v>
          </cell>
          <cell r="C36">
            <v>1.1559064063045401</v>
          </cell>
          <cell r="D36">
            <v>2.5678591761581857</v>
          </cell>
          <cell r="E36">
            <v>2.531008150055817</v>
          </cell>
          <cell r="F36">
            <v>1.7250876281180889</v>
          </cell>
          <cell r="G36">
            <v>1.2179749454727679E-3</v>
          </cell>
        </row>
        <row r="37">
          <cell r="B37">
            <v>0.27424799999999999</v>
          </cell>
          <cell r="C37">
            <v>0.43895274869404016</v>
          </cell>
          <cell r="D37">
            <v>1.334982010800841</v>
          </cell>
          <cell r="E37">
            <v>1.403079560947887</v>
          </cell>
          <cell r="F37">
            <v>1.5498733830814859</v>
          </cell>
          <cell r="G37">
            <v>1.712024527637553</v>
          </cell>
        </row>
        <row r="38">
          <cell r="B38">
            <v>0.90292899999999998</v>
          </cell>
          <cell r="C38">
            <v>1.1231012868789843</v>
          </cell>
          <cell r="D38">
            <v>2.1799454519691803</v>
          </cell>
          <cell r="E38">
            <v>2.2911811075231201</v>
          </cell>
          <cell r="F38">
            <v>2.5308891318190287</v>
          </cell>
          <cell r="G38">
            <v>2.7956756446257098</v>
          </cell>
        </row>
        <row r="39">
          <cell r="B39">
            <v>2.9447877823313207E-2</v>
          </cell>
          <cell r="C39">
            <v>2.1779770564172574E-2</v>
          </cell>
          <cell r="D39">
            <v>1.3858692661458137E-2</v>
          </cell>
          <cell r="E39">
            <v>1.22517741982333E-2</v>
          </cell>
          <cell r="F39">
            <v>8.2051832555706476E-3</v>
          </cell>
          <cell r="G39">
            <v>2.2538154511832129E-3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8.3052317464614167E-3</v>
          </cell>
          <cell r="C41">
            <v>6.5909969243481458E-3</v>
          </cell>
          <cell r="D41">
            <v>7.8874605739864614E-3</v>
          </cell>
          <cell r="E41">
            <v>2.2229352766366652E-2</v>
          </cell>
          <cell r="F41">
            <v>6.4205728218250116E-2</v>
          </cell>
          <cell r="G41">
            <v>9.3438837267278765E-2</v>
          </cell>
        </row>
        <row r="42">
          <cell r="B42">
            <v>6.4028293104844303E-3</v>
          </cell>
          <cell r="C42">
            <v>1.9254184833701313E-2</v>
          </cell>
          <cell r="D42">
            <v>3.4410504817366218E-2</v>
          </cell>
          <cell r="E42">
            <v>6.0565941057949241E-2</v>
          </cell>
          <cell r="F42">
            <v>0.18823325897560209</v>
          </cell>
          <cell r="G42">
            <v>0.23896782218261794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>
            <v>4.7679065981285601E-2</v>
          </cell>
          <cell r="C44">
            <v>1.4546448289388059E-2</v>
          </cell>
          <cell r="D44">
            <v>1.454630318412517E-2</v>
          </cell>
          <cell r="E44">
            <v>1.35457837559789E-2</v>
          </cell>
          <cell r="F44">
            <v>1.332740476163144E-2</v>
          </cell>
          <cell r="G44">
            <v>1.3190161254379464E-2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1.06429347717013E-4</v>
          </cell>
          <cell r="F46">
            <v>1.9237835851553396E-3</v>
          </cell>
          <cell r="G46">
            <v>5.5449978484675968E-3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4.0094089144920903E-5</v>
          </cell>
          <cell r="F47">
            <v>1.00094667965006E-4</v>
          </cell>
          <cell r="G47">
            <v>7.6071971336464113E-5</v>
          </cell>
        </row>
        <row r="48">
          <cell r="B48">
            <v>3.9117612678195206E-3</v>
          </cell>
          <cell r="C48">
            <v>5.9262692853506921E-4</v>
          </cell>
          <cell r="D48">
            <v>6.015035250522973E-4</v>
          </cell>
          <cell r="E48">
            <v>5.9128783502525371E-4</v>
          </cell>
          <cell r="F48">
            <v>2.5344063259278443E-4</v>
          </cell>
          <cell r="G48">
            <v>1.1081859200227399E-4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9.4042135911394991E-6</v>
          </cell>
          <cell r="F49">
            <v>3.08723162370941E-5</v>
          </cell>
          <cell r="G49">
            <v>2.5456522286577876E-5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4.37265501898389E-5</v>
          </cell>
          <cell r="F50">
            <v>4.8779867042266002E-5</v>
          </cell>
          <cell r="G50">
            <v>2.7900128777287981E-5</v>
          </cell>
        </row>
        <row r="51">
          <cell r="B51">
            <v>8.3678209537735512E-3</v>
          </cell>
          <cell r="C51">
            <v>2.9931735083460871E-4</v>
          </cell>
          <cell r="D51">
            <v>3.1640320866381272E-4</v>
          </cell>
          <cell r="E51">
            <v>1.643062550128634E-2</v>
          </cell>
          <cell r="F51">
            <v>0.27061930753366459</v>
          </cell>
          <cell r="G51">
            <v>0.24439508819734018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3.9445500926264199E-5</v>
          </cell>
          <cell r="F52">
            <v>3.2009684964097749E-4</v>
          </cell>
          <cell r="G52">
            <v>2.7464405981983007E-4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8.6562880294153302E-5</v>
          </cell>
          <cell r="F53">
            <v>7.665564950263141E-5</v>
          </cell>
          <cell r="G53">
            <v>4.3756566823289483E-5</v>
          </cell>
        </row>
        <row r="54">
          <cell r="B54">
            <v>7.35127E-2</v>
          </cell>
          <cell r="C54">
            <v>8.4745049128659586E-2</v>
          </cell>
          <cell r="D54">
            <v>8.4744991119671764E-2</v>
          </cell>
          <cell r="E54">
            <v>8.474527382374189E-2</v>
          </cell>
          <cell r="F54">
            <v>9.7890980068224109E-2</v>
          </cell>
          <cell r="G54">
            <v>8.4745144172549844E-2</v>
          </cell>
        </row>
        <row r="55">
          <cell r="B55">
            <v>6.5199864612584799E-2</v>
          </cell>
          <cell r="C55">
            <v>4.7876842137248223E-2</v>
          </cell>
          <cell r="D55">
            <v>1.7629879610943991E-3</v>
          </cell>
          <cell r="E55">
            <v>1.7630373787850054E-3</v>
          </cell>
          <cell r="F55">
            <v>1.5020552147414993E-3</v>
          </cell>
          <cell r="G55">
            <v>5.8286515031875008E-5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4.4301956752319102E-5</v>
          </cell>
          <cell r="F56">
            <v>4.6965297097745719E-5</v>
          </cell>
          <cell r="G56">
            <v>2.1113777796025004E-5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2.53575570270958E-5</v>
          </cell>
          <cell r="F57">
            <v>3.789329234479106E-5</v>
          </cell>
          <cell r="G57">
            <v>3.1368842811686708E-5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1.3621285320118E-5</v>
          </cell>
          <cell r="F58">
            <v>3.9551389548202453E-4</v>
          </cell>
          <cell r="G58">
            <v>3.9190051095821225E-4</v>
          </cell>
        </row>
        <row r="63">
          <cell r="B63">
            <v>0.1</v>
          </cell>
          <cell r="C63">
            <v>7.3402246406805802E-2</v>
          </cell>
          <cell r="D63">
            <v>7.3402079272981535E-2</v>
          </cell>
          <cell r="E63">
            <v>7.34018782576248E-2</v>
          </cell>
          <cell r="F63">
            <v>7.340224810050873E-2</v>
          </cell>
          <cell r="G63">
            <v>9.9999313052278799E-2</v>
          </cell>
        </row>
        <row r="64">
          <cell r="B64">
            <v>2.7728420441042401E-4</v>
          </cell>
          <cell r="C64">
            <v>2.7755963505106981E-4</v>
          </cell>
          <cell r="D64">
            <v>2.8119329245810141E-4</v>
          </cell>
          <cell r="E64">
            <v>2.616513233088388E-4</v>
          </cell>
          <cell r="F64">
            <v>6.0702806088216424E-4</v>
          </cell>
          <cell r="G64">
            <v>0.40925193387414499</v>
          </cell>
        </row>
        <row r="65">
          <cell r="B65">
            <v>2.0209424835346599E-4</v>
          </cell>
          <cell r="C65">
            <v>2.022987522211598E-4</v>
          </cell>
          <cell r="D65">
            <v>2.0468991577880766E-4</v>
          </cell>
          <cell r="E65">
            <v>1.9579743417280144E-4</v>
          </cell>
          <cell r="F65">
            <v>4.6551977530920292E-4</v>
          </cell>
          <cell r="G65">
            <v>1.5822216562926351E-2</v>
          </cell>
        </row>
        <row r="66">
          <cell r="B66">
            <v>1.8638384910413518E-4</v>
          </cell>
          <cell r="C66">
            <v>1.8656536944842736E-4</v>
          </cell>
          <cell r="D66">
            <v>1.8739305334020422E-4</v>
          </cell>
          <cell r="E66">
            <v>6.7280864072593617E-4</v>
          </cell>
          <cell r="F66">
            <v>1.1002835922611775E-3</v>
          </cell>
          <cell r="G66">
            <v>8.8013733449748258E-4</v>
          </cell>
        </row>
        <row r="67">
          <cell r="B67">
            <v>4.0892719232365473E-4</v>
          </cell>
          <cell r="C67">
            <v>4.0934709938690193E-4</v>
          </cell>
          <cell r="D67">
            <v>4.1218199603614317E-4</v>
          </cell>
          <cell r="E67">
            <v>4.9213577330181828E-2</v>
          </cell>
          <cell r="F67">
            <v>2.8027532665256337E-2</v>
          </cell>
          <cell r="G67">
            <v>0.11567151346651286</v>
          </cell>
        </row>
        <row r="68">
          <cell r="B68">
            <v>4.0895306639498243E-4</v>
          </cell>
          <cell r="C68">
            <v>4.0937288474082934E-4</v>
          </cell>
          <cell r="D68">
            <v>4.1221819818798534E-4</v>
          </cell>
          <cell r="E68">
            <v>5.1025801160280035E-2</v>
          </cell>
          <cell r="F68">
            <v>0.11113966914788902</v>
          </cell>
          <cell r="G68">
            <v>0.11657905034251545</v>
          </cell>
        </row>
        <row r="69">
          <cell r="B69">
            <v>1.8723741913291548E-4</v>
          </cell>
          <cell r="C69">
            <v>1.874191799570777E-4</v>
          </cell>
          <cell r="D69">
            <v>1.882564956004186E-4</v>
          </cell>
          <cell r="E69">
            <v>6.9084689499116338E-4</v>
          </cell>
          <cell r="F69">
            <v>1.0132068224271353E-3</v>
          </cell>
          <cell r="G69">
            <v>7.2965409406778963E-4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3.8073207155442678E-3</v>
          </cell>
          <cell r="F72">
            <v>2.9107450032671784</v>
          </cell>
          <cell r="G72">
            <v>4.71550819164066E-4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6.1790810687376051E-4</v>
          </cell>
          <cell r="F157">
            <v>1.1242117314033779E-3</v>
          </cell>
          <cell r="G157">
            <v>1.1287541498771288E-3</v>
          </cell>
        </row>
      </sheetData>
      <sheetData sheetId="43">
        <row r="5">
          <cell r="B5">
            <v>0.41221315265564534</v>
          </cell>
          <cell r="C5">
            <v>3.0269088072070396E-5</v>
          </cell>
          <cell r="D5">
            <v>0.62589832355785147</v>
          </cell>
          <cell r="E5">
            <v>3.356130343590736E-4</v>
          </cell>
          <cell r="F5">
            <v>2.0188979484626744E-4</v>
          </cell>
          <cell r="G5">
            <v>1.2103972488643068E-4</v>
          </cell>
        </row>
        <row r="12">
          <cell r="B12">
            <v>0.17009329261333306</v>
          </cell>
          <cell r="C12">
            <v>2.8711525385261338E-5</v>
          </cell>
          <cell r="D12">
            <v>0.17009372780576751</v>
          </cell>
          <cell r="E12">
            <v>0.11886428823820197</v>
          </cell>
          <cell r="F12">
            <v>3.3162656119232667E-5</v>
          </cell>
          <cell r="G12">
            <v>1.8116973614934169E-5</v>
          </cell>
        </row>
        <row r="19">
          <cell r="B19">
            <v>1.3280018384090568</v>
          </cell>
          <cell r="C19">
            <v>3.6839634570192143</v>
          </cell>
          <cell r="D19">
            <v>3.6841357721543235</v>
          </cell>
          <cell r="E19">
            <v>5.1544352605130239</v>
          </cell>
          <cell r="F19">
            <v>7.5462354721393021</v>
          </cell>
          <cell r="G19">
            <v>9.4405582957957304</v>
          </cell>
        </row>
        <row r="20">
          <cell r="B20">
            <v>5.6293916013803278</v>
          </cell>
          <cell r="C20">
            <v>5.6371660446833429</v>
          </cell>
          <cell r="D20">
            <v>5.4279781860745011</v>
          </cell>
          <cell r="E20">
            <v>5.6176909514545557</v>
          </cell>
          <cell r="F20">
            <v>5.4448398737287054</v>
          </cell>
          <cell r="G20">
            <v>5.1234166840592943</v>
          </cell>
        </row>
        <row r="21">
          <cell r="B21">
            <v>0</v>
          </cell>
          <cell r="C21">
            <v>5.014263553963916E-5</v>
          </cell>
          <cell r="D21">
            <v>1.0966805344786112E-4</v>
          </cell>
          <cell r="E21">
            <v>1.2397891646792868E-4</v>
          </cell>
          <cell r="F21">
            <v>2.1734506027504169E-4</v>
          </cell>
          <cell r="G21">
            <v>2.3112396769120076E-4</v>
          </cell>
        </row>
        <row r="28">
          <cell r="B28">
            <v>3.4758759493762619E-3</v>
          </cell>
          <cell r="C28">
            <v>4.5982054048362047E-3</v>
          </cell>
          <cell r="D28">
            <v>0.23167385735632717</v>
          </cell>
          <cell r="E28">
            <v>0.44656072463533802</v>
          </cell>
          <cell r="F28">
            <v>0.95933660464228021</v>
          </cell>
          <cell r="G28">
            <v>7.4392427217594728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3.4054124039632691E-3</v>
          </cell>
          <cell r="F29">
            <v>2.213082140356649</v>
          </cell>
          <cell r="G29">
            <v>1.2346344484163955E-3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0.8761020669790649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8">
          <cell r="B38">
            <v>1.2890707004514259</v>
          </cell>
          <cell r="C38">
            <v>4.2975944059828484</v>
          </cell>
          <cell r="D38">
            <v>4.2974062204087691</v>
          </cell>
          <cell r="E38">
            <v>2.6863865685476465</v>
          </cell>
          <cell r="F38">
            <v>3.0851203837134853</v>
          </cell>
          <cell r="G38">
            <v>6.657629453628223</v>
          </cell>
        </row>
        <row r="39">
          <cell r="B39">
            <v>1.1764710821049138</v>
          </cell>
          <cell r="C39">
            <v>3.9222018927930589</v>
          </cell>
          <cell r="D39">
            <v>3.9220301451256203</v>
          </cell>
          <cell r="E39">
            <v>2.4517321758570576</v>
          </cell>
          <cell r="F39">
            <v>2.815636811061085</v>
          </cell>
          <cell r="G39">
            <v>6.0760891740232985</v>
          </cell>
        </row>
      </sheetData>
      <sheetData sheetId="44">
        <row r="3">
          <cell r="B3">
            <v>48.063397652170998</v>
          </cell>
          <cell r="C3">
            <v>50.546782827580024</v>
          </cell>
          <cell r="D3">
            <v>52.30192016616882</v>
          </cell>
          <cell r="E3">
            <v>53.728160846485366</v>
          </cell>
          <cell r="F3">
            <v>55.092659088824064</v>
          </cell>
          <cell r="G3">
            <v>56.641300551114966</v>
          </cell>
        </row>
        <row r="6">
          <cell r="B6">
            <v>0</v>
          </cell>
          <cell r="C6">
            <v>4.8942717193800531</v>
          </cell>
          <cell r="D6">
            <v>4.8942779754637771</v>
          </cell>
          <cell r="E6">
            <v>4.8942695159552727</v>
          </cell>
          <cell r="F6">
            <v>5.1100751881849638</v>
          </cell>
          <cell r="G6">
            <v>5.2597766948732856</v>
          </cell>
        </row>
        <row r="11">
          <cell r="B11">
            <v>60.070013563995388</v>
          </cell>
          <cell r="C11">
            <v>62.51579136452807</v>
          </cell>
          <cell r="D11">
            <v>65.68123547292403</v>
          </cell>
          <cell r="E11">
            <v>67.147313829456621</v>
          </cell>
          <cell r="F11">
            <v>69.094248391743463</v>
          </cell>
          <cell r="G11">
            <v>70.447223393465109</v>
          </cell>
        </row>
        <row r="18">
          <cell r="B18">
            <v>3.560001170516788</v>
          </cell>
          <cell r="C18">
            <v>3.4647165621005938</v>
          </cell>
          <cell r="D18">
            <v>3.2255900287305095</v>
          </cell>
          <cell r="E18">
            <v>7.6323335700341402E-4</v>
          </cell>
          <cell r="F18">
            <v>3.336828852408488E-4</v>
          </cell>
          <cell r="G18">
            <v>9.5725429957025708E-5</v>
          </cell>
        </row>
        <row r="19">
          <cell r="B19">
            <v>12.728651336407761</v>
          </cell>
          <cell r="C19">
            <v>13.638431149299594</v>
          </cell>
          <cell r="D19">
            <v>13.475037817588762</v>
          </cell>
          <cell r="E19">
            <v>16.110498003869278</v>
          </cell>
          <cell r="F19">
            <v>21.557242482081254</v>
          </cell>
          <cell r="G19">
            <v>25.667429346412685</v>
          </cell>
        </row>
        <row r="21">
          <cell r="B21">
            <v>7.7980413972491105</v>
          </cell>
          <cell r="C21">
            <v>8.0801452520147929</v>
          </cell>
          <cell r="D21">
            <v>5.6082745555151696</v>
          </cell>
          <cell r="E21">
            <v>5.5456281515832799</v>
          </cell>
          <cell r="F21">
            <v>5.455347124631297</v>
          </cell>
          <cell r="G21">
            <v>5.3999812577976725</v>
          </cell>
        </row>
        <row r="22">
          <cell r="B22">
            <v>6.7634770168768135E-2</v>
          </cell>
          <cell r="C22">
            <v>8.5491573412392122E-2</v>
          </cell>
          <cell r="D22">
            <v>8.4119322796834428E-2</v>
          </cell>
          <cell r="E22">
            <v>8.5138658315977472E-2</v>
          </cell>
          <cell r="F22">
            <v>8.2465510557872726E-2</v>
          </cell>
          <cell r="G22">
            <v>8.4182150940405459E-2</v>
          </cell>
        </row>
        <row r="23">
          <cell r="B23">
            <v>0</v>
          </cell>
          <cell r="C23">
            <v>0</v>
          </cell>
          <cell r="D23">
            <v>1.9382326452868723E-2</v>
          </cell>
          <cell r="E23">
            <v>0.42925742277327278</v>
          </cell>
          <cell r="F23">
            <v>3.3150926618724195</v>
          </cell>
          <cell r="G23">
            <v>8.1213773069118691</v>
          </cell>
        </row>
        <row r="24">
          <cell r="B24">
            <v>0.74847408204608001</v>
          </cell>
          <cell r="C24">
            <v>0.9497295571193668</v>
          </cell>
          <cell r="D24">
            <v>1.4790986460532356</v>
          </cell>
          <cell r="E24">
            <v>1.6490185039910898</v>
          </cell>
          <cell r="F24">
            <v>2.6826069749749442</v>
          </cell>
          <cell r="G24">
            <v>2.7306700948437173</v>
          </cell>
        </row>
        <row r="33">
          <cell r="B33">
            <v>12.006615911824387</v>
          </cell>
          <cell r="C33">
            <v>12.710040636533279</v>
          </cell>
          <cell r="D33">
            <v>14.120314547485899</v>
          </cell>
          <cell r="E33">
            <v>14.160198615233336</v>
          </cell>
          <cell r="F33">
            <v>14.50489000480634</v>
          </cell>
          <cell r="G33">
            <v>14.435275785049953</v>
          </cell>
        </row>
        <row r="34">
          <cell r="B34">
            <v>8.89780381053078</v>
          </cell>
          <cell r="C34">
            <v>7.9926800556475897</v>
          </cell>
          <cell r="D34">
            <v>7.9729047317490584</v>
          </cell>
          <cell r="E34">
            <v>6.5029428891112646</v>
          </cell>
          <cell r="F34">
            <v>2.9588477394858259</v>
          </cell>
          <cell r="G34">
            <v>3.5495262311718372E-5</v>
          </cell>
        </row>
        <row r="35">
          <cell r="B35">
            <v>2.7300010461898081</v>
          </cell>
          <cell r="C35">
            <v>2.2401018703561865E-4</v>
          </cell>
          <cell r="D35">
            <v>6.5718352806615665E-4</v>
          </cell>
          <cell r="E35">
            <v>4.3852786690932826E-4</v>
          </cell>
          <cell r="F35">
            <v>3.5424629059552828E-4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7.2264011279285406E-5</v>
          </cell>
          <cell r="E36">
            <v>6.9464648770116579E-5</v>
          </cell>
          <cell r="F36">
            <v>0.37865856691129668</v>
          </cell>
          <cell r="G36">
            <v>0.25063261485418714</v>
          </cell>
        </row>
        <row r="37">
          <cell r="B37">
            <v>35.241321478540641</v>
          </cell>
          <cell r="C37">
            <v>31.64813767376835</v>
          </cell>
          <cell r="D37">
            <v>31.891844542234562</v>
          </cell>
          <cell r="E37">
            <v>28.308522849753274</v>
          </cell>
          <cell r="F37">
            <v>12.903230973200193</v>
          </cell>
          <cell r="G37">
            <v>2.1430812330568205</v>
          </cell>
        </row>
        <row r="38">
          <cell r="B38">
            <v>0.31104028383959131</v>
          </cell>
          <cell r="C38">
            <v>3.1647283773615714E-5</v>
          </cell>
          <cell r="D38">
            <v>0.77516108423369667</v>
          </cell>
          <cell r="E38">
            <v>2.370337295233651</v>
          </cell>
          <cell r="F38">
            <v>2.7618862728975899</v>
          </cell>
          <cell r="G38">
            <v>6.0055771233372237</v>
          </cell>
        </row>
        <row r="39">
          <cell r="B39">
            <v>0.43672591874092204</v>
          </cell>
          <cell r="C39">
            <v>0.5520652427091518</v>
          </cell>
          <cell r="D39">
            <v>2.4035812880047565</v>
          </cell>
          <cell r="E39">
            <v>5.7740959704200439</v>
          </cell>
          <cell r="F39">
            <v>8.2782243240511413</v>
          </cell>
          <cell r="G39">
            <v>9.0481726667279023</v>
          </cell>
        </row>
        <row r="55">
          <cell r="B55">
            <v>9.8138931158801093</v>
          </cell>
          <cell r="C55">
            <v>10.33508287827204</v>
          </cell>
          <cell r="D55">
            <v>11.332130181103752</v>
          </cell>
          <cell r="E55">
            <v>11.332129940420533</v>
          </cell>
          <cell r="F55">
            <v>11.332145627955574</v>
          </cell>
          <cell r="G55">
            <v>11.33214418418156</v>
          </cell>
        </row>
        <row r="56">
          <cell r="B56">
            <v>1.1081478975056465</v>
          </cell>
          <cell r="C56">
            <v>1.4007923224751331</v>
          </cell>
          <cell r="D56">
            <v>2.1662499520377168</v>
          </cell>
          <cell r="E56">
            <v>2.3932605599006065</v>
          </cell>
          <cell r="F56">
            <v>3.7492667899094263</v>
          </cell>
          <cell r="G56">
            <v>3.7689518448340236</v>
          </cell>
        </row>
        <row r="57">
          <cell r="B57">
            <v>6.9177055228208051</v>
          </cell>
          <cell r="C57">
            <v>6.2240588989655175</v>
          </cell>
          <cell r="D57">
            <v>6.2237577928780157</v>
          </cell>
          <cell r="E57">
            <v>5.0967417802368509</v>
          </cell>
          <cell r="F57">
            <v>2.6367623685818598</v>
          </cell>
          <cell r="G57">
            <v>0.19961414341460293</v>
          </cell>
        </row>
        <row r="58">
          <cell r="B58">
            <v>1.8458219573550838</v>
          </cell>
          <cell r="C58">
            <v>1.5211411750653682E-4</v>
          </cell>
          <cell r="D58">
            <v>4.4914386746271358E-4</v>
          </cell>
          <cell r="E58">
            <v>3.0291312406761879E-4</v>
          </cell>
          <cell r="F58">
            <v>2.4987647722882048E-4</v>
          </cell>
          <cell r="G58">
            <v>0</v>
          </cell>
        </row>
        <row r="59">
          <cell r="B59">
            <v>28.61976964699998</v>
          </cell>
          <cell r="C59">
            <v>25.49918177962854</v>
          </cell>
          <cell r="D59">
            <v>26.36821093356928</v>
          </cell>
          <cell r="E59">
            <v>24.840823396027435</v>
          </cell>
          <cell r="F59">
            <v>12.739168377607186</v>
          </cell>
          <cell r="G59">
            <v>6.6546885825279434</v>
          </cell>
        </row>
        <row r="60">
          <cell r="B60">
            <v>0</v>
          </cell>
          <cell r="C60">
            <v>0</v>
          </cell>
          <cell r="D60">
            <v>4.719062565109758E-3</v>
          </cell>
          <cell r="E60">
            <v>5.7788535062596605E-3</v>
          </cell>
          <cell r="F60">
            <v>0.12107228043081686</v>
          </cell>
          <cell r="G60">
            <v>0.10521586667270151</v>
          </cell>
        </row>
        <row r="61">
          <cell r="B61">
            <v>2.3674007783936641</v>
          </cell>
          <cell r="C61">
            <v>2.307501230358997</v>
          </cell>
          <cell r="D61">
            <v>2.1530813441776129</v>
          </cell>
          <cell r="E61">
            <v>5.113663491922879E-4</v>
          </cell>
          <cell r="F61">
            <v>2.2523594753757293E-4</v>
          </cell>
          <cell r="G61">
            <v>6.5093292370777526E-5</v>
          </cell>
        </row>
        <row r="62">
          <cell r="B62">
            <v>5.1850592030586737</v>
          </cell>
          <cell r="C62">
            <v>5.5675603674967764</v>
          </cell>
          <cell r="D62">
            <v>5.6771976070966881</v>
          </cell>
          <cell r="E62">
            <v>7.1924558370918161</v>
          </cell>
          <cell r="F62">
            <v>10.724967376132343</v>
          </cell>
          <cell r="G62">
            <v>12.97248323892901</v>
          </cell>
        </row>
        <row r="63">
          <cell r="B63">
            <v>6.5822768093803887</v>
          </cell>
          <cell r="C63">
            <v>7.0678509674971011</v>
          </cell>
          <cell r="D63">
            <v>6.8468598550765423</v>
          </cell>
          <cell r="E63">
            <v>7.8608192698389523</v>
          </cell>
          <cell r="F63">
            <v>9.6312831558127403</v>
          </cell>
          <cell r="G63">
            <v>11.411745129047222</v>
          </cell>
        </row>
        <row r="64">
          <cell r="B64">
            <v>5.3111190261122267</v>
          </cell>
          <cell r="C64">
            <v>6.2669383021722505</v>
          </cell>
          <cell r="D64">
            <v>5.8075030156520988</v>
          </cell>
          <cell r="E64">
            <v>6.2640772323201146</v>
          </cell>
          <cell r="F64">
            <v>9.7236242408260622</v>
          </cell>
          <cell r="G64">
            <v>9.4640291164465822</v>
          </cell>
        </row>
        <row r="65">
          <cell r="B65">
            <v>0.46151841191049769</v>
          </cell>
          <cell r="C65">
            <v>0.54457505353748181</v>
          </cell>
          <cell r="D65">
            <v>0.54470890751752621</v>
          </cell>
          <cell r="E65">
            <v>0.54471152396742384</v>
          </cell>
          <cell r="F65">
            <v>0.54471972930466128</v>
          </cell>
          <cell r="G65">
            <v>0.54472209340530808</v>
          </cell>
        </row>
        <row r="66">
          <cell r="B66">
            <v>4.1173658577475321</v>
          </cell>
          <cell r="C66">
            <v>4.2663166930638168</v>
          </cell>
          <cell r="D66">
            <v>2.9611689653120083</v>
          </cell>
          <cell r="E66">
            <v>2.9280916640359713</v>
          </cell>
          <cell r="F66">
            <v>2.8804232818053284</v>
          </cell>
          <cell r="G66">
            <v>2.9375898042419362</v>
          </cell>
        </row>
        <row r="67">
          <cell r="B67">
            <v>6.7634770168768135E-2</v>
          </cell>
          <cell r="C67">
            <v>8.5491573412392122E-2</v>
          </cell>
          <cell r="D67">
            <v>8.4119322796834428E-2</v>
          </cell>
          <cell r="E67">
            <v>8.5138658315977472E-2</v>
          </cell>
          <cell r="F67">
            <v>8.2465510557872726E-2</v>
          </cell>
          <cell r="G67">
            <v>8.4182150940405459E-2</v>
          </cell>
        </row>
        <row r="68">
          <cell r="B68">
            <v>0.3105121282247954</v>
          </cell>
          <cell r="C68">
            <v>0.39251838756620644</v>
          </cell>
          <cell r="D68">
            <v>1.7089462957713817</v>
          </cell>
          <cell r="E68">
            <v>4.1053822349686504</v>
          </cell>
          <cell r="F68">
            <v>5.8858174944003609</v>
          </cell>
          <cell r="G68">
            <v>6.5146843200440898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0.30713761544168189</v>
          </cell>
          <cell r="F69">
            <v>2.613058069605549</v>
          </cell>
          <cell r="G69">
            <v>6.5448503497368637</v>
          </cell>
        </row>
        <row r="70">
          <cell r="B70">
            <v>0</v>
          </cell>
          <cell r="C70">
            <v>4.1532388125259976</v>
          </cell>
          <cell r="D70">
            <v>4.1532779332719567</v>
          </cell>
          <cell r="E70">
            <v>4.1532640960139782</v>
          </cell>
          <cell r="F70">
            <v>4.6069115295887704</v>
          </cell>
          <cell r="G70">
            <v>4.7563412531429554</v>
          </cell>
        </row>
        <row r="71">
          <cell r="B71">
            <v>72.708225125558187</v>
          </cell>
          <cell r="C71">
            <v>74.111259381089766</v>
          </cell>
          <cell r="D71">
            <v>76.032380312694002</v>
          </cell>
          <cell r="E71">
            <v>77.110626941559516</v>
          </cell>
          <cell r="F71">
            <v>77.272160944943309</v>
          </cell>
          <cell r="G71">
            <v>77.291307170857564</v>
          </cell>
        </row>
      </sheetData>
      <sheetData sheetId="45">
        <row r="3">
          <cell r="B3">
            <v>56.994774574912441</v>
          </cell>
          <cell r="C3">
            <v>58.701894736035307</v>
          </cell>
          <cell r="D3">
            <v>56.809115337740849</v>
          </cell>
          <cell r="E3">
            <v>56.185374044387082</v>
          </cell>
          <cell r="F3">
            <v>54.957745808253691</v>
          </cell>
          <cell r="G3">
            <v>52.468818929980841</v>
          </cell>
        </row>
        <row r="6">
          <cell r="B6">
            <v>0</v>
          </cell>
          <cell r="C6">
            <v>6.9642659648367298</v>
          </cell>
          <cell r="D6">
            <v>2.2358742967150915</v>
          </cell>
          <cell r="E6">
            <v>4.0635284365078341</v>
          </cell>
          <cell r="F6">
            <v>7.5659853529276413</v>
          </cell>
          <cell r="G6">
            <v>10.779559978842698</v>
          </cell>
        </row>
        <row r="11">
          <cell r="B11">
            <v>60.950006601776657</v>
          </cell>
          <cell r="C11">
            <v>60.339231905606781</v>
          </cell>
          <cell r="D11">
            <v>59.525961044390598</v>
          </cell>
          <cell r="E11">
            <v>59.26799534706489</v>
          </cell>
          <cell r="F11">
            <v>58.886798726601455</v>
          </cell>
          <cell r="G11">
            <v>57.143198069943502</v>
          </cell>
        </row>
        <row r="12">
          <cell r="B12">
            <v>30.256634199787158</v>
          </cell>
          <cell r="C12">
            <v>27.088129134858487</v>
          </cell>
          <cell r="D12">
            <v>26.838512534665099</v>
          </cell>
          <cell r="E12">
            <v>19.643075992206544</v>
          </cell>
          <cell r="F12">
            <v>12.24530615181355</v>
          </cell>
          <cell r="G12">
            <v>5.2031341891545333</v>
          </cell>
        </row>
        <row r="13">
          <cell r="B13">
            <v>0</v>
          </cell>
          <cell r="C13">
            <v>0</v>
          </cell>
          <cell r="D13">
            <v>8.5470213539876936E-5</v>
          </cell>
          <cell r="E13">
            <v>4.1694036720641533E-5</v>
          </cell>
          <cell r="F13">
            <v>8.3516121665208796E-5</v>
          </cell>
          <cell r="G13">
            <v>6.1241998307847188E-5</v>
          </cell>
        </row>
        <row r="14">
          <cell r="B14">
            <v>25.260808676186979</v>
          </cell>
          <cell r="C14">
            <v>25.108215572278691</v>
          </cell>
          <cell r="D14">
            <v>23.934111726230217</v>
          </cell>
          <cell r="E14">
            <v>22.690321783591664</v>
          </cell>
          <cell r="F14">
            <v>16.751588009195913</v>
          </cell>
          <cell r="G14">
            <v>11.919045480039429</v>
          </cell>
        </row>
        <row r="15">
          <cell r="B15">
            <v>0.28787874263175683</v>
          </cell>
          <cell r="C15">
            <v>1.6415654783464046</v>
          </cell>
          <cell r="D15">
            <v>1.1597748293230266</v>
          </cell>
          <cell r="E15">
            <v>9.9530029941262248E-4</v>
          </cell>
          <cell r="F15">
            <v>1.0248161698025925E-4</v>
          </cell>
          <cell r="G15">
            <v>3.9051694919618901E-5</v>
          </cell>
        </row>
        <row r="16">
          <cell r="B16">
            <v>1.4022778209083187</v>
          </cell>
          <cell r="C16">
            <v>1.5372238507787992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7.7268871756507007</v>
          </cell>
          <cell r="C17">
            <v>8.3696944241856279</v>
          </cell>
          <cell r="D17">
            <v>5.927329426930628</v>
          </cell>
          <cell r="E17">
            <v>6.7886448761595863</v>
          </cell>
          <cell r="F17">
            <v>7.4384098249013153</v>
          </cell>
          <cell r="G17">
            <v>7.598040059595057</v>
          </cell>
        </row>
        <row r="19">
          <cell r="B19">
            <v>0.62699491223293335</v>
          </cell>
          <cell r="C19">
            <v>0.68733408081230318</v>
          </cell>
          <cell r="D19">
            <v>0.53383583675907753</v>
          </cell>
          <cell r="E19">
            <v>0.61701414120713738</v>
          </cell>
          <cell r="F19">
            <v>0.72872533980703214</v>
          </cell>
          <cell r="G19">
            <v>0.86695119099290019</v>
          </cell>
        </row>
        <row r="20">
          <cell r="B20">
            <v>0</v>
          </cell>
          <cell r="C20">
            <v>0</v>
          </cell>
          <cell r="D20">
            <v>1.4840487611223845E-2</v>
          </cell>
          <cell r="E20">
            <v>2.7840096599562913E-4</v>
          </cell>
          <cell r="F20">
            <v>6.4297277899937999E-4</v>
          </cell>
          <cell r="G20">
            <v>2.1271412503754489E-2</v>
          </cell>
        </row>
        <row r="21">
          <cell r="B21">
            <v>2.9295833916619576</v>
          </cell>
          <cell r="C21">
            <v>3.1924499228234802</v>
          </cell>
          <cell r="D21">
            <v>3.7529147234409974</v>
          </cell>
          <cell r="E21">
            <v>6.370162126195714</v>
          </cell>
          <cell r="F21">
            <v>10.53194054668861</v>
          </cell>
          <cell r="G21">
            <v>14.938941477520613</v>
          </cell>
        </row>
        <row r="28">
          <cell r="B28">
            <v>3.9552320268642158</v>
          </cell>
          <cell r="C28">
            <v>1.6373371695714749</v>
          </cell>
          <cell r="D28">
            <v>2.7168457066497496</v>
          </cell>
          <cell r="E28">
            <v>3.0826213026778091</v>
          </cell>
          <cell r="F28">
            <v>3.9290529183477663</v>
          </cell>
          <cell r="G28">
            <v>4.6743791399626557</v>
          </cell>
        </row>
        <row r="47">
          <cell r="B47">
            <v>4.2612122060537558</v>
          </cell>
          <cell r="C47">
            <v>4.6176507812268195</v>
          </cell>
          <cell r="D47">
            <v>4.5774343509492121</v>
          </cell>
          <cell r="E47">
            <v>7.1085901203120958</v>
          </cell>
          <cell r="F47">
            <v>11.037946141562642</v>
          </cell>
          <cell r="G47">
            <v>14.91853765828338</v>
          </cell>
        </row>
        <row r="48">
          <cell r="B48">
            <v>24.843069747374258</v>
          </cell>
          <cell r="C48">
            <v>22.285521110705989</v>
          </cell>
          <cell r="D48">
            <v>21.322466660380101</v>
          </cell>
          <cell r="E48">
            <v>15.91965134229261</v>
          </cell>
          <cell r="F48">
            <v>10.006711088249098</v>
          </cell>
          <cell r="G48">
            <v>4.2519572530698886</v>
          </cell>
        </row>
        <row r="49">
          <cell r="B49">
            <v>24.189714683775183</v>
          </cell>
          <cell r="C49">
            <v>25.326920356442937</v>
          </cell>
          <cell r="D49">
            <v>20.748831932014415</v>
          </cell>
          <cell r="E49">
            <v>18.15555076519178</v>
          </cell>
          <cell r="F49">
            <v>12.086367331747944</v>
          </cell>
          <cell r="G49">
            <v>6.9818800950361535</v>
          </cell>
        </row>
        <row r="50">
          <cell r="B50">
            <v>0</v>
          </cell>
          <cell r="C50">
            <v>0</v>
          </cell>
          <cell r="D50">
            <v>1.6521860645746476</v>
          </cell>
          <cell r="E50">
            <v>3.292513184888799</v>
          </cell>
          <cell r="F50">
            <v>5.6901920129499253</v>
          </cell>
          <cell r="G50">
            <v>8.2004237038079992</v>
          </cell>
        </row>
        <row r="51">
          <cell r="B51">
            <v>2.0957163622596027</v>
          </cell>
          <cell r="C51">
            <v>2.2700609246705112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5.5539019416345949</v>
          </cell>
          <cell r="C52">
            <v>6.0159365552732629</v>
          </cell>
          <cell r="D52">
            <v>4.8782314423027771</v>
          </cell>
          <cell r="E52">
            <v>5.6120019375571957</v>
          </cell>
          <cell r="F52">
            <v>6.1491462745810876</v>
          </cell>
          <cell r="G52">
            <v>6.2811085737934098</v>
          </cell>
        </row>
        <row r="53">
          <cell r="B53">
            <v>6.1735451768496512</v>
          </cell>
          <cell r="C53">
            <v>6.7112482135121931</v>
          </cell>
          <cell r="D53">
            <v>6.4188145800137555</v>
          </cell>
          <cell r="E53">
            <v>6.7111894039628988</v>
          </cell>
          <cell r="F53">
            <v>6.428569770756682</v>
          </cell>
          <cell r="G53">
            <v>6.3220871981990765</v>
          </cell>
        </row>
        <row r="54">
          <cell r="B54">
            <v>1.877070820055613</v>
          </cell>
          <cell r="C54">
            <v>2.1600822734495249</v>
          </cell>
          <cell r="D54">
            <v>0.43430009777469364</v>
          </cell>
          <cell r="E54">
            <v>0.86381664536952363</v>
          </cell>
          <cell r="F54">
            <v>1.4860303137719355</v>
          </cell>
          <cell r="G54">
            <v>1.9705368263526495</v>
          </cell>
        </row>
        <row r="55">
          <cell r="B55">
            <v>0.62699491223293335</v>
          </cell>
          <cell r="C55">
            <v>0.68733408081230318</v>
          </cell>
          <cell r="D55">
            <v>0.53383583675907753</v>
          </cell>
          <cell r="E55">
            <v>0.61701414120713738</v>
          </cell>
          <cell r="F55">
            <v>0.72872533980703214</v>
          </cell>
          <cell r="G55">
            <v>0.86695119099290019</v>
          </cell>
        </row>
        <row r="56">
          <cell r="B56">
            <v>1.2230667153962358</v>
          </cell>
          <cell r="C56">
            <v>1.3407666426492684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6.9642659648367298</v>
          </cell>
          <cell r="D58">
            <v>2.2358742967150915</v>
          </cell>
          <cell r="E58">
            <v>4.0635284365078341</v>
          </cell>
          <cell r="F58">
            <v>7.5659853529276413</v>
          </cell>
          <cell r="G58">
            <v>10.779559978842698</v>
          </cell>
        </row>
        <row r="59">
          <cell r="B59">
            <v>73.238330497012896</v>
          </cell>
          <cell r="C59">
            <v>78.573891628298384</v>
          </cell>
          <cell r="D59">
            <v>63.323874721315477</v>
          </cell>
          <cell r="E59">
            <v>62.697990963484685</v>
          </cell>
          <cell r="F59">
            <v>61.442315159195026</v>
          </cell>
          <cell r="G59">
            <v>60.766811173655533</v>
          </cell>
        </row>
      </sheetData>
      <sheetData sheetId="46">
        <row r="3">
          <cell r="B3">
            <v>44.576906262745908</v>
          </cell>
          <cell r="C3">
            <v>44.861180361396379</v>
          </cell>
          <cell r="D3">
            <v>49.523419334167684</v>
          </cell>
          <cell r="E3">
            <v>50.016871710112056</v>
          </cell>
          <cell r="F3">
            <v>50.54049017081514</v>
          </cell>
          <cell r="G3">
            <v>50.053465794020298</v>
          </cell>
        </row>
        <row r="10">
          <cell r="B10">
            <v>4.9558943380991718E-2</v>
          </cell>
          <cell r="C10">
            <v>8.5224240324365361</v>
          </cell>
          <cell r="D10">
            <v>5.1190424796686216</v>
          </cell>
          <cell r="E10">
            <v>9.2417358555910241</v>
          </cell>
          <cell r="F10">
            <v>16.989880988035093</v>
          </cell>
          <cell r="G10">
            <v>24.243835809354124</v>
          </cell>
        </row>
        <row r="15">
          <cell r="B15">
            <v>69.470023098812177</v>
          </cell>
          <cell r="C15">
            <v>68.576991811346403</v>
          </cell>
          <cell r="D15">
            <v>69.390577885623912</v>
          </cell>
          <cell r="E15">
            <v>70.543992766226765</v>
          </cell>
          <cell r="F15">
            <v>72.748008058302432</v>
          </cell>
          <cell r="G15">
            <v>73.427379601305688</v>
          </cell>
        </row>
        <row r="16">
          <cell r="B16">
            <v>60.231822344023726</v>
          </cell>
          <cell r="C16">
            <v>51.320001959502036</v>
          </cell>
          <cell r="D16">
            <v>50.152547690983852</v>
          </cell>
          <cell r="E16">
            <v>32.820380327035743</v>
          </cell>
          <cell r="F16">
            <v>17.423984944671847</v>
          </cell>
          <cell r="G16">
            <v>5.7300834095161548</v>
          </cell>
        </row>
        <row r="17">
          <cell r="B17">
            <v>0</v>
          </cell>
          <cell r="C17">
            <v>0</v>
          </cell>
          <cell r="D17">
            <v>8.5685887219406182E-5</v>
          </cell>
          <cell r="E17">
            <v>4.2038824170262127E-5</v>
          </cell>
          <cell r="F17">
            <v>8.3980881392367083E-5</v>
          </cell>
          <cell r="G17">
            <v>6.1308916073681338E-5</v>
          </cell>
        </row>
        <row r="18">
          <cell r="B18">
            <v>46.69137882534725</v>
          </cell>
          <cell r="C18">
            <v>46.119115464710966</v>
          </cell>
          <cell r="D18">
            <v>47.056171757730361</v>
          </cell>
          <cell r="E18">
            <v>43.914777189421997</v>
          </cell>
          <cell r="F18">
            <v>32.810893944008647</v>
          </cell>
          <cell r="G18">
            <v>23.751984543627657</v>
          </cell>
        </row>
        <row r="19">
          <cell r="B19">
            <v>0.31054258183983191</v>
          </cell>
          <cell r="C19">
            <v>2.1493247048618751</v>
          </cell>
          <cell r="D19">
            <v>1.4887046069128524</v>
          </cell>
          <cell r="E19">
            <v>9.8790967281212061E-4</v>
          </cell>
          <cell r="F19">
            <v>7.5416590322971574E-5</v>
          </cell>
          <cell r="G19">
            <v>2.6987620141609411E-5</v>
          </cell>
        </row>
        <row r="20">
          <cell r="B20">
            <v>0.10000025708710156</v>
          </cell>
          <cell r="C20">
            <v>0.10000012559189816</v>
          </cell>
          <cell r="D20">
            <v>2.6952857011657113E-2</v>
          </cell>
          <cell r="E20">
            <v>6.0613919165707179E-3</v>
          </cell>
          <cell r="F20">
            <v>0</v>
          </cell>
          <cell r="G20">
            <v>0</v>
          </cell>
        </row>
        <row r="21">
          <cell r="B21">
            <v>8.411133537563444</v>
          </cell>
          <cell r="C21">
            <v>9.6754098683103589</v>
          </cell>
          <cell r="D21">
            <v>8.3120267022645535</v>
          </cell>
          <cell r="E21">
            <v>9.2745933930340563</v>
          </cell>
          <cell r="F21">
            <v>9.6610773995320507</v>
          </cell>
          <cell r="G21">
            <v>9.7011415231641749</v>
          </cell>
        </row>
        <row r="22">
          <cell r="B22">
            <v>16.991195736142075</v>
          </cell>
          <cell r="C22">
            <v>18.25907613585904</v>
          </cell>
          <cell r="D22">
            <v>17.805011949071986</v>
          </cell>
          <cell r="E22">
            <v>17.745812543726796</v>
          </cell>
          <cell r="F22">
            <v>16.815544309840863</v>
          </cell>
          <cell r="G22">
            <v>15.915526948223373</v>
          </cell>
        </row>
        <row r="23">
          <cell r="B23">
            <v>2.5068260173831902</v>
          </cell>
          <cell r="C23">
            <v>2.9280013764649935</v>
          </cell>
          <cell r="D23">
            <v>0.94256020589936429</v>
          </cell>
          <cell r="E23">
            <v>1.1143934140674019</v>
          </cell>
          <cell r="F23">
            <v>1.3166352994227304</v>
          </cell>
          <cell r="G23">
            <v>1.5102692258140173</v>
          </cell>
        </row>
        <row r="24">
          <cell r="B24">
            <v>0</v>
          </cell>
          <cell r="C24">
            <v>0</v>
          </cell>
          <cell r="D24">
            <v>2.8900759341390102E-2</v>
          </cell>
          <cell r="E24">
            <v>3.1557705645982395E-4</v>
          </cell>
          <cell r="F24">
            <v>2.711888294685153E-3</v>
          </cell>
          <cell r="G24">
            <v>4.3816091467419035E-2</v>
          </cell>
        </row>
        <row r="25">
          <cell r="B25">
            <v>15.194980174604506</v>
          </cell>
          <cell r="C25">
            <v>17.635224872790275</v>
          </cell>
          <cell r="D25">
            <v>25.275419613044889</v>
          </cell>
          <cell r="E25">
            <v>36.066591886591681</v>
          </cell>
          <cell r="F25">
            <v>49.540406139040172</v>
          </cell>
          <cell r="G25">
            <v>61.550299432359395</v>
          </cell>
        </row>
        <row r="26">
          <cell r="B26">
            <v>219.90790257280329</v>
          </cell>
          <cell r="C26">
            <v>216.76314631943785</v>
          </cell>
          <cell r="D26">
            <v>220.47895971377199</v>
          </cell>
          <cell r="E26">
            <v>211.48794843757443</v>
          </cell>
          <cell r="F26">
            <v>200.3194213805852</v>
          </cell>
          <cell r="G26">
            <v>191.63058907201412</v>
          </cell>
        </row>
        <row r="102">
          <cell r="B102">
            <v>8.9080068626538669</v>
          </cell>
          <cell r="C102">
            <v>6.5043536634856505</v>
          </cell>
          <cell r="D102">
            <v>0.83299857831438462</v>
          </cell>
          <cell r="E102">
            <v>0.22536442750947072</v>
          </cell>
          <cell r="F102">
            <v>4.1837511023953063E-2</v>
          </cell>
          <cell r="G102">
            <v>4.5038171791362366E-2</v>
          </cell>
        </row>
        <row r="104">
          <cell r="B104">
            <v>19.060339064308554</v>
          </cell>
          <cell r="C104">
            <v>22.070014660144071</v>
          </cell>
          <cell r="D104">
            <v>30.943309110643376</v>
          </cell>
          <cell r="E104">
            <v>39.137613230045282</v>
          </cell>
          <cell r="F104">
            <v>47.900398636362148</v>
          </cell>
          <cell r="G104">
            <v>54.593038197177215</v>
          </cell>
        </row>
        <row r="105">
          <cell r="B105">
            <v>45.124390564534295</v>
          </cell>
          <cell r="C105">
            <v>39.027292988303508</v>
          </cell>
          <cell r="D105">
            <v>34.998489379685168</v>
          </cell>
          <cell r="E105">
            <v>23.435513369623926</v>
          </cell>
          <cell r="F105">
            <v>12.527706719169727</v>
          </cell>
          <cell r="G105">
            <v>3.7769794269386558</v>
          </cell>
        </row>
        <row r="106">
          <cell r="B106">
            <v>36.569920173569869</v>
          </cell>
          <cell r="C106">
            <v>38.873371795797397</v>
          </cell>
          <cell r="D106">
            <v>33.144921801565893</v>
          </cell>
          <cell r="E106">
            <v>28.073447189069434</v>
          </cell>
          <cell r="F106">
            <v>17.057765950353467</v>
          </cell>
          <cell r="G106">
            <v>7.9001139767910784</v>
          </cell>
        </row>
        <row r="107">
          <cell r="B107">
            <v>0</v>
          </cell>
          <cell r="C107">
            <v>0</v>
          </cell>
          <cell r="D107">
            <v>4.5049520904368361</v>
          </cell>
          <cell r="E107">
            <v>9.5163765862031955</v>
          </cell>
          <cell r="F107">
            <v>15.136753441660298</v>
          </cell>
          <cell r="G107">
            <v>19.747546610244854</v>
          </cell>
        </row>
        <row r="108">
          <cell r="B108">
            <v>7.200018510271311E-2</v>
          </cell>
          <cell r="C108">
            <v>7.2000090426166632E-2</v>
          </cell>
          <cell r="D108">
            <v>2.1543436791430167E-2</v>
          </cell>
          <cell r="E108">
            <v>4.8485748835640158E-3</v>
          </cell>
          <cell r="F108">
            <v>0</v>
          </cell>
          <cell r="G108">
            <v>0</v>
          </cell>
        </row>
        <row r="109">
          <cell r="B109">
            <v>7.8070009491218881E-2</v>
          </cell>
          <cell r="C109">
            <v>8.9782385033651494E-3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6.5556076003636292</v>
          </cell>
          <cell r="C110">
            <v>7.6930674801112771</v>
          </cell>
          <cell r="D110">
            <v>5.8578214083117626</v>
          </cell>
          <cell r="E110">
            <v>6.4739335609580531</v>
          </cell>
          <cell r="F110">
            <v>6.6001508575950023</v>
          </cell>
          <cell r="G110">
            <v>6.5231135899542565</v>
          </cell>
        </row>
        <row r="111">
          <cell r="B111">
            <v>9.1310739460449923</v>
          </cell>
          <cell r="C111">
            <v>9.5274811269399216</v>
          </cell>
          <cell r="D111">
            <v>10.370180990089681</v>
          </cell>
          <cell r="E111">
            <v>9.9612499916094563</v>
          </cell>
          <cell r="F111">
            <v>8.6034120550450215</v>
          </cell>
          <cell r="G111">
            <v>7.3727929322528132</v>
          </cell>
        </row>
        <row r="112">
          <cell r="B112">
            <v>2.6968855518974357</v>
          </cell>
          <cell r="C112">
            <v>3.1682199526611816</v>
          </cell>
          <cell r="D112">
            <v>0.36333127073509119</v>
          </cell>
          <cell r="E112">
            <v>0.6227557583812201</v>
          </cell>
          <cell r="F112">
            <v>0.96856796617143881</v>
          </cell>
          <cell r="G112">
            <v>1.2262472704378893</v>
          </cell>
        </row>
        <row r="113">
          <cell r="B113">
            <v>0.78533799272333915</v>
          </cell>
          <cell r="C113">
            <v>0.94127795085046362</v>
          </cell>
          <cell r="D113">
            <v>3.0920622638566653E-2</v>
          </cell>
          <cell r="E113">
            <v>3.5993771358575691E-2</v>
          </cell>
          <cell r="F113">
            <v>3.9598190634638777E-2</v>
          </cell>
          <cell r="G113">
            <v>4.1315283980490232E-2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129.03119089407087</v>
          </cell>
          <cell r="C116">
            <v>136.40848197965954</v>
          </cell>
          <cell r="D116">
            <v>126.18751116888079</v>
          </cell>
          <cell r="E116">
            <v>126.72883231523321</v>
          </cell>
          <cell r="F116">
            <v>125.86607231605079</v>
          </cell>
          <cell r="G116">
            <v>125.47002126892274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26.978301080158953</v>
          </cell>
          <cell r="C224">
            <v>25.928911892757498</v>
          </cell>
          <cell r="D224">
            <v>21.656383615274279</v>
          </cell>
          <cell r="E224">
            <v>22.582793141950773</v>
          </cell>
          <cell r="F224">
            <v>25.580159593332006</v>
          </cell>
          <cell r="G224">
            <v>29.053535462231928</v>
          </cell>
        </row>
        <row r="231">
          <cell r="B231">
            <v>15.552706469892033</v>
          </cell>
          <cell r="C231">
            <v>13.473062472833776</v>
          </cell>
          <cell r="D231">
            <v>3.6545189334679455</v>
          </cell>
          <cell r="E231">
            <v>2.453423046793572</v>
          </cell>
          <cell r="F231">
            <v>1.9286099304384108</v>
          </cell>
          <cell r="G231">
            <v>1.740874439257291</v>
          </cell>
        </row>
        <row r="233">
          <cell r="B233">
            <v>22.300235520500465</v>
          </cell>
          <cell r="C233">
            <v>25.705473496635364</v>
          </cell>
          <cell r="D233">
            <v>35.640291317473498</v>
          </cell>
          <cell r="E233">
            <v>46.003655954959981</v>
          </cell>
          <cell r="F233">
            <v>58.126228319799552</v>
          </cell>
          <cell r="G233">
            <v>68.0299086941463</v>
          </cell>
        </row>
        <row r="234">
          <cell r="B234">
            <v>52.108847379283709</v>
          </cell>
          <cell r="C234">
            <v>44.568637811039316</v>
          </cell>
          <cell r="D234">
            <v>39.653614516974784</v>
          </cell>
          <cell r="E234">
            <v>26.544035798375152</v>
          </cell>
          <cell r="F234">
            <v>14.329019029009963</v>
          </cell>
          <cell r="G234">
            <v>4.6109119915741754</v>
          </cell>
        </row>
        <row r="235">
          <cell r="B235">
            <v>42.950371618247132</v>
          </cell>
          <cell r="C235">
            <v>44.414594279411908</v>
          </cell>
          <cell r="D235">
            <v>38.589236638920205</v>
          </cell>
          <cell r="E235">
            <v>32.533359438861233</v>
          </cell>
          <cell r="F235">
            <v>20.081887239808605</v>
          </cell>
          <cell r="G235">
            <v>9.8164263525829796</v>
          </cell>
        </row>
        <row r="236">
          <cell r="B236">
            <v>0</v>
          </cell>
          <cell r="C236">
            <v>0</v>
          </cell>
          <cell r="D236">
            <v>5.41408908046549</v>
          </cell>
          <cell r="E236">
            <v>11.727479064521077</v>
          </cell>
          <cell r="F236">
            <v>19.313375194880891</v>
          </cell>
          <cell r="G236">
            <v>25.790783034714941</v>
          </cell>
        </row>
        <row r="238">
          <cell r="B238">
            <v>9.3569975526358887E-2</v>
          </cell>
          <cell r="C238">
            <v>1.0684089877418632E-2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7.8571534283652378</v>
          </cell>
          <cell r="C239">
            <v>9.1547383553854456</v>
          </cell>
          <cell r="D239">
            <v>6.8051758106123152</v>
          </cell>
          <cell r="E239">
            <v>7.6200116627983876</v>
          </cell>
          <cell r="F239">
            <v>7.9460429370638224</v>
          </cell>
          <cell r="G239">
            <v>8.0132342051992733</v>
          </cell>
        </row>
        <row r="240">
          <cell r="B240">
            <v>9.6515449084953495</v>
          </cell>
          <cell r="C240">
            <v>10.124721642989519</v>
          </cell>
          <cell r="D240">
            <v>11.556786309093434</v>
          </cell>
          <cell r="E240">
            <v>11.288003136371639</v>
          </cell>
          <cell r="F240">
            <v>10.152347585365712</v>
          </cell>
          <cell r="G240">
            <v>9.1203756756062244</v>
          </cell>
        </row>
        <row r="241">
          <cell r="B241">
            <v>2.8666775280526746</v>
          </cell>
          <cell r="C241">
            <v>3.3630562249165856</v>
          </cell>
          <cell r="D241">
            <v>0.44703605478800873</v>
          </cell>
          <cell r="E241">
            <v>0.78067950996094815</v>
          </cell>
          <cell r="F241">
            <v>1.2622053855580166</v>
          </cell>
          <cell r="G241">
            <v>1.6469373029053334</v>
          </cell>
        </row>
        <row r="242">
          <cell r="B242">
            <v>2.5068260173831902</v>
          </cell>
          <cell r="C242">
            <v>2.9280013764649935</v>
          </cell>
          <cell r="D242">
            <v>0.94256020589936429</v>
          </cell>
          <cell r="E242">
            <v>1.1143934140674019</v>
          </cell>
          <cell r="F242">
            <v>1.3166352994227304</v>
          </cell>
          <cell r="G242">
            <v>1.5102692258140173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4.9558943380991718E-2</v>
          </cell>
          <cell r="C244">
            <v>8.5224240324365361</v>
          </cell>
          <cell r="D244">
            <v>5.1190424796686216</v>
          </cell>
          <cell r="E244">
            <v>9.2417358555910241</v>
          </cell>
          <cell r="F244">
            <v>16.989880988035093</v>
          </cell>
          <cell r="G244">
            <v>24.243835809354124</v>
          </cell>
        </row>
        <row r="245">
          <cell r="B245">
            <v>156.00949197422986</v>
          </cell>
          <cell r="C245">
            <v>162.33739387241707</v>
          </cell>
          <cell r="D245">
            <v>147.84389478415511</v>
          </cell>
          <cell r="E245">
            <v>149.31162545718396</v>
          </cell>
          <cell r="F245">
            <v>151.44623190938279</v>
          </cell>
          <cell r="G245">
            <v>154.52355673115468</v>
          </cell>
        </row>
      </sheetData>
      <sheetData sheetId="47">
        <row r="21">
          <cell r="B21">
            <v>78.337892784320516</v>
          </cell>
          <cell r="C21">
            <v>78.75910082483891</v>
          </cell>
          <cell r="D21">
            <v>71.234753977859043</v>
          </cell>
          <cell r="E21">
            <v>58.195830703990708</v>
          </cell>
          <cell r="F21">
            <v>39.80911451866821</v>
          </cell>
          <cell r="G21">
            <v>29.734120006033841</v>
          </cell>
        </row>
        <row r="22">
          <cell r="B22">
            <v>117.26174726913712</v>
          </cell>
          <cell r="C22">
            <v>106.79098574804786</v>
          </cell>
          <cell r="D22">
            <v>86.291578107091453</v>
          </cell>
          <cell r="E22">
            <v>59.762154084110179</v>
          </cell>
          <cell r="F22">
            <v>50.774873265927731</v>
          </cell>
          <cell r="G22">
            <v>47.442563711962443</v>
          </cell>
        </row>
        <row r="24">
          <cell r="B24">
            <v>0.24725881996204949</v>
          </cell>
          <cell r="C24">
            <v>0.10637052221863112</v>
          </cell>
          <cell r="D24">
            <v>4.8474244915499289</v>
          </cell>
          <cell r="E24">
            <v>9.0735405223474395</v>
          </cell>
          <cell r="F24">
            <v>1.5860068255476299E-3</v>
          </cell>
          <cell r="G24">
            <v>1.4685269698522237E-3</v>
          </cell>
        </row>
        <row r="25">
          <cell r="B25">
            <v>4.5365790566612967</v>
          </cell>
          <cell r="C25">
            <v>4.5609936429507547</v>
          </cell>
          <cell r="D25">
            <v>4.1255244281411363</v>
          </cell>
          <cell r="E25">
            <v>3.3702067910085072</v>
          </cell>
          <cell r="F25">
            <v>2.3055397926223264</v>
          </cell>
          <cell r="G25">
            <v>1.7221116154722713</v>
          </cell>
        </row>
        <row r="26">
          <cell r="B26">
            <v>2.9709298558870532</v>
          </cell>
          <cell r="C26">
            <v>2.9709287742282346</v>
          </cell>
          <cell r="D26">
            <v>2.9709287556988779</v>
          </cell>
          <cell r="E26">
            <v>2.379401439918392</v>
          </cell>
          <cell r="F26">
            <v>1.1929023191268728</v>
          </cell>
          <cell r="G26">
            <v>1.2801639477526781</v>
          </cell>
        </row>
        <row r="27">
          <cell r="B27">
            <v>2.0191949389042146E-2</v>
          </cell>
          <cell r="C27">
            <v>1.1425864430830426E-2</v>
          </cell>
          <cell r="D27">
            <v>0.47818349060859944</v>
          </cell>
          <cell r="E27">
            <v>9.9519638142291111E-4</v>
          </cell>
          <cell r="F27">
            <v>5.644744211127614E-5</v>
          </cell>
          <cell r="G27">
            <v>2.9538763338684231E-5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2.6544745004587107E-2</v>
          </cell>
          <cell r="F32">
            <v>6.1594702743367327E-2</v>
          </cell>
          <cell r="G32">
            <v>2.0732094841709832</v>
          </cell>
        </row>
      </sheetData>
      <sheetData sheetId="48">
        <row r="53">
          <cell r="B53">
            <v>2.5736542030687533</v>
          </cell>
          <cell r="C53">
            <v>2.4968659881300619</v>
          </cell>
          <cell r="D53">
            <v>2.2703354427453575</v>
          </cell>
          <cell r="E53">
            <v>2.277035085319838</v>
          </cell>
          <cell r="F53">
            <v>2.2765488285206943</v>
          </cell>
          <cell r="G53">
            <v>2.3177496405552347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2.15775518497131E-4</v>
          </cell>
          <cell r="F54">
            <v>0.16469092457669299</v>
          </cell>
          <cell r="G54">
            <v>2.6702144143627301E-5</v>
          </cell>
        </row>
        <row r="55">
          <cell r="B55">
            <v>6.4915983179362806</v>
          </cell>
          <cell r="C55">
            <v>5.9832273356537264</v>
          </cell>
          <cell r="D55">
            <v>5.8554762064249513</v>
          </cell>
          <cell r="E55">
            <v>5.2906762584263465</v>
          </cell>
          <cell r="F55">
            <v>4.0393817727853527</v>
          </cell>
          <cell r="G55">
            <v>3.1722321988083602</v>
          </cell>
        </row>
        <row r="56">
          <cell r="B56">
            <v>3.7897279167046101</v>
          </cell>
          <cell r="C56">
            <v>3.5432631355544801</v>
          </cell>
          <cell r="D56">
            <v>3.3674704901941102</v>
          </cell>
          <cell r="E56">
            <v>2.7578594090482</v>
          </cell>
          <cell r="F56">
            <v>1.8703058449793999</v>
          </cell>
          <cell r="G56">
            <v>1.0650537787235279</v>
          </cell>
        </row>
        <row r="57">
          <cell r="B57">
            <v>7.1744301673673831</v>
          </cell>
          <cell r="C57">
            <v>6.466010591882779</v>
          </cell>
          <cell r="D57">
            <v>6.425038868778171</v>
          </cell>
          <cell r="E57">
            <v>4.9885249970482768</v>
          </cell>
          <cell r="F57">
            <v>3.8433310563125702</v>
          </cell>
          <cell r="G57">
            <v>2.3769506684623063</v>
          </cell>
        </row>
        <row r="58">
          <cell r="B58">
            <v>14.568088142063704</v>
          </cell>
          <cell r="C58">
            <v>13.951966530200126</v>
          </cell>
          <cell r="D58">
            <v>12.163919656430277</v>
          </cell>
          <cell r="E58">
            <v>9.4629344758327427</v>
          </cell>
          <cell r="F58">
            <v>6.7844459562640793</v>
          </cell>
          <cell r="G58">
            <v>5.7566002137550258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008" activePane="bottomRight" state="frozen"/>
      <selection activeCell="B1" sqref="B1"/>
      <selection pane="topRight" activeCell="F1" sqref="F1"/>
      <selection pane="bottomLeft" activeCell="B2" sqref="B2"/>
      <selection pane="bottomRight" activeCell="D2038" sqref="D2038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2179</v>
      </c>
      <c r="C2" s="2" t="s">
        <v>7</v>
      </c>
      <c r="D2" s="2" t="s">
        <v>15</v>
      </c>
      <c r="E2" s="2" t="s">
        <v>8</v>
      </c>
      <c r="F2" s="3">
        <f>F3+F8+F11+F12+F16+F17+F18+F19</f>
        <v>299.34494725928482</v>
      </c>
      <c r="G2" s="3">
        <f t="shared" ref="G2:K2" si="0">G3+G8+G11+G12+G16+G17+G18+G19</f>
        <v>291.91192454140236</v>
      </c>
      <c r="H2" s="3">
        <f t="shared" si="0"/>
        <v>381.28439701139104</v>
      </c>
      <c r="I2" s="3">
        <f t="shared" si="0"/>
        <v>362.51005924986754</v>
      </c>
      <c r="J2" s="3">
        <f t="shared" si="0"/>
        <v>418.36704208864961</v>
      </c>
      <c r="K2" s="3">
        <f t="shared" si="0"/>
        <v>482.47928605945623</v>
      </c>
    </row>
    <row r="3" spans="1:11" x14ac:dyDescent="0.25">
      <c r="A3" s="5" t="str">
        <f>A2</f>
        <v>STEM</v>
      </c>
      <c r="B3" s="5" t="str">
        <f>B2</f>
        <v>SPS4</v>
      </c>
      <c r="C3" s="5" t="str">
        <f t="shared" ref="C3" si="1">C2</f>
        <v>CH</v>
      </c>
      <c r="D3" t="s">
        <v>771</v>
      </c>
      <c r="E3" t="s">
        <v>8</v>
      </c>
      <c r="F3" s="1">
        <f>SUM(F4:F7)</f>
        <v>44.770002568998507</v>
      </c>
      <c r="G3" s="1">
        <f t="shared" ref="G3:K3" si="2">SUM(G4:G7)</f>
        <v>47.260900257065302</v>
      </c>
      <c r="H3" s="1">
        <f t="shared" si="2"/>
        <v>47.260902333034785</v>
      </c>
      <c r="I3" s="1">
        <f t="shared" si="2"/>
        <v>47.261353548396656</v>
      </c>
      <c r="J3" s="1">
        <f t="shared" si="2"/>
        <v>60.108686320491842</v>
      </c>
      <c r="K3" s="1">
        <f t="shared" si="2"/>
        <v>63.75564791863485</v>
      </c>
    </row>
    <row r="4" spans="1:11" x14ac:dyDescent="0.25">
      <c r="A4" s="5" t="str">
        <f t="shared" ref="A4:B53" si="3">A3</f>
        <v>STEM</v>
      </c>
      <c r="B4" s="5" t="str">
        <f t="shared" si="3"/>
        <v>SPS4</v>
      </c>
      <c r="C4" s="5" t="str">
        <f t="shared" ref="C4:C60" si="4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10.18234030753838</v>
      </c>
      <c r="G4" s="1" cm="1">
        <f t="array" ref="G4">SUMPRODUCT(("RNWWOD1"=[1]OUT_PrimaryEnergyCons!$A$1:$A$1000)*1,[1]OUT_PrimaryEnergyCons!E$1:E$1000)</f>
        <v>11.15295060373098</v>
      </c>
      <c r="H4" s="1" cm="1">
        <f t="array" ref="H4">SUMPRODUCT(("RNWWOD1"=[1]OUT_PrimaryEnergyCons!$A$1:$A$1000)*1,[1]OUT_PrimaryEnergyCons!F$1:F$1000)</f>
        <v>12.608866604101053</v>
      </c>
      <c r="I4" s="1" cm="1">
        <f t="array" ref="I4">SUMPRODUCT(("RNWWOD1"=[1]OUT_PrimaryEnergyCons!$A$1:$A$1000)*1,[1]OUT_PrimaryEnergyCons!G$1:G$1000)</f>
        <v>15.035394262025742</v>
      </c>
      <c r="J4" s="1" cm="1">
        <f t="array" ref="J4">SUMPRODUCT(("RNWWOD1"=[1]OUT_PrimaryEnergyCons!$A$1:$A$1000)*1,[1]OUT_PrimaryEnergyCons!H$1:H$1000)</f>
        <v>17.461922303487643</v>
      </c>
      <c r="K4" s="1" cm="1">
        <f t="array" ref="K4">SUMPRODUCT(("RNWWOD1"=[1]OUT_PrimaryEnergyCons!$A$1:$A$1000)*1,[1]OUT_PrimaryEnergyCons!I$1:I$1000)</f>
        <v>17.46192218127749</v>
      </c>
    </row>
    <row r="5" spans="1:11" x14ac:dyDescent="0.25">
      <c r="A5" s="5" t="str">
        <f t="shared" si="3"/>
        <v>STEM</v>
      </c>
      <c r="B5" s="5" t="str">
        <f t="shared" si="3"/>
        <v>SPS4</v>
      </c>
      <c r="C5" s="5" t="str">
        <f t="shared" si="4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7.4592172478086747</v>
      </c>
      <c r="G5" s="1" cm="1">
        <f t="array" ref="G5">SUMPRODUCT(("RNWWOD2"=[1]OUT_PrimaryEnergyCons!$A$1:$A$1000)*1,[1]OUT_PrimaryEnergyCons!E$1:E$1000)</f>
        <v>8.0030403435808921</v>
      </c>
      <c r="H5" s="1" cm="1">
        <f t="array" ref="H5">SUMPRODUCT(("RNWWOD2"=[1]OUT_PrimaryEnergyCons!$A$1:$A$1000)*1,[1]OUT_PrimaryEnergyCons!F$1:F$1000)</f>
        <v>8.8187755314480611</v>
      </c>
      <c r="I5" s="1" cm="1">
        <f t="array" ref="I5">SUMPRODUCT(("RNWWOD2"=[1]OUT_PrimaryEnergyCons!$A$1:$A$1000)*1,[1]OUT_PrimaryEnergyCons!G$1:G$1000)</f>
        <v>10.17833505267023</v>
      </c>
      <c r="J5" s="1" cm="1">
        <f t="array" ref="J5">SUMPRODUCT(("RNWWOD2"=[1]OUT_PrimaryEnergyCons!$A$1:$A$1000)*1,[1]OUT_PrimaryEnergyCons!H$1:H$1000)</f>
        <v>10.230788177722225</v>
      </c>
      <c r="K5" s="1" cm="1">
        <f t="array" ref="K5">SUMPRODUCT(("RNWWOD2"=[1]OUT_PrimaryEnergyCons!$A$1:$A$1000)*1,[1]OUT_PrimaryEnergyCons!I$1:I$1000)</f>
        <v>7.6165741027374994</v>
      </c>
    </row>
    <row r="6" spans="1:11" x14ac:dyDescent="0.25">
      <c r="A6" s="5" t="str">
        <f t="shared" si="3"/>
        <v>STEM</v>
      </c>
      <c r="B6" s="5" t="str">
        <f t="shared" si="3"/>
        <v>SPS4</v>
      </c>
      <c r="C6" s="5" t="str">
        <f t="shared" si="4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2.6225292823729633</v>
      </c>
      <c r="G6" s="1" cm="1">
        <f t="array" ref="G6">SUMPRODUCT(("RNWWOD3"=[1]OUT_PrimaryEnergyCons!$A$1:$A$1000)*1,[1]OUT_PrimaryEnergyCons!E$1:E$1000)</f>
        <v>3.2650043623440919</v>
      </c>
      <c r="H6" s="1" cm="1">
        <f t="array" ref="H6">SUMPRODUCT(("RNWWOD3"=[1]OUT_PrimaryEnergyCons!$A$1:$A$1000)*1,[1]OUT_PrimaryEnergyCons!F$1:F$1000)</f>
        <v>4.2287178949855697</v>
      </c>
      <c r="I6" s="1" cm="1">
        <f t="array" ref="I6">SUMPRODUCT(("RNWWOD3"=[1]OUT_PrimaryEnergyCons!$A$1:$A$1000)*1,[1]OUT_PrimaryEnergyCons!G$1:G$1000)</f>
        <v>5.8349084892729106</v>
      </c>
      <c r="J6" s="1" cm="1">
        <f t="array" ref="J6">SUMPRODUCT(("RNWWOD3"=[1]OUT_PrimaryEnergyCons!$A$1:$A$1000)*1,[1]OUT_PrimaryEnergyCons!H$1:H$1000)</f>
        <v>6.3806232588142242</v>
      </c>
      <c r="K6" s="1" cm="1">
        <f t="array" ref="K6">SUMPRODUCT(("RNWWOD3"=[1]OUT_PrimaryEnergyCons!$A$1:$A$1000)*1,[1]OUT_PrimaryEnergyCons!I$1:I$1000)</f>
        <v>4.259671371890704</v>
      </c>
    </row>
    <row r="7" spans="1:11" x14ac:dyDescent="0.25">
      <c r="A7" s="5" t="str">
        <f t="shared" si="3"/>
        <v>STEM</v>
      </c>
      <c r="B7" s="5" t="str">
        <f t="shared" si="3"/>
        <v>SPS4</v>
      </c>
      <c r="C7" s="5" t="str">
        <f t="shared" si="4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24.505915731278488</v>
      </c>
      <c r="G7" s="1" cm="1">
        <f t="array" ref="G7">SUMPRODUCT(("RNWWOD4"=[1]OUT_PrimaryEnergyCons!$A$1:$A$1000)*1+("RNWWOD5"=[1]OUT_PrimaryEnergyCons!$A$1:$A$1000)*1,[1]OUT_PrimaryEnergyCons!E$1:E$1000)</f>
        <v>24.839904947409334</v>
      </c>
      <c r="H7" s="1" cm="1">
        <f t="array" ref="H7">SUMPRODUCT(("RNWWOD4"=[1]OUT_PrimaryEnergyCons!$A$1:$A$1000)*1+("RNWWOD5"=[1]OUT_PrimaryEnergyCons!$A$1:$A$1000)*1,[1]OUT_PrimaryEnergyCons!F$1:F$1000)</f>
        <v>21.6045423025001</v>
      </c>
      <c r="I7" s="1" cm="1">
        <f t="array" ref="I7">SUMPRODUCT(("RNWWOD4"=[1]OUT_PrimaryEnergyCons!$A$1:$A$1000)*1+("RNWWOD5"=[1]OUT_PrimaryEnergyCons!$A$1:$A$1000)*1,[1]OUT_PrimaryEnergyCons!G$1:G$1000)</f>
        <v>16.212715744427779</v>
      </c>
      <c r="J7" s="1" cm="1">
        <f t="array" ref="J7">SUMPRODUCT(("RNWWOD4"=[1]OUT_PrimaryEnergyCons!$A$1:$A$1000)*1+("RNWWOD5"=[1]OUT_PrimaryEnergyCons!$A$1:$A$1000)*1,[1]OUT_PrimaryEnergyCons!H$1:H$1000)</f>
        <v>26.035352580467752</v>
      </c>
      <c r="K7" s="1" cm="1">
        <f t="array" ref="K7">SUMPRODUCT(("RNWWOD4"=[1]OUT_PrimaryEnergyCons!$A$1:$A$1000)*1+("RNWWOD5"=[1]OUT_PrimaryEnergyCons!$A$1:$A$1000)*1,[1]OUT_PrimaryEnergyCons!I$1:I$1000)</f>
        <v>34.417480262729157</v>
      </c>
    </row>
    <row r="8" spans="1:11" x14ac:dyDescent="0.25">
      <c r="A8" s="5" t="str">
        <f t="shared" si="3"/>
        <v>STEM</v>
      </c>
      <c r="B8" s="5" t="str">
        <f t="shared" si="3"/>
        <v>SPS4</v>
      </c>
      <c r="C8" s="5" t="str">
        <f t="shared" si="4"/>
        <v>CH</v>
      </c>
      <c r="D8" t="s">
        <v>772</v>
      </c>
      <c r="E8" t="s">
        <v>8</v>
      </c>
      <c r="F8" s="1">
        <f>SUM(F9:F10)</f>
        <v>69.392869859077436</v>
      </c>
      <c r="G8" s="1">
        <f t="shared" ref="G8:K8" si="5">SUM(G9:G10)</f>
        <v>69.663484163712269</v>
      </c>
      <c r="H8" s="1">
        <f t="shared" si="5"/>
        <v>69.270574379008593</v>
      </c>
      <c r="I8" s="1">
        <f t="shared" si="5"/>
        <v>68.821067405081877</v>
      </c>
      <c r="J8" s="1">
        <f t="shared" si="5"/>
        <v>68.940560797504276</v>
      </c>
      <c r="K8" s="1">
        <f t="shared" si="5"/>
        <v>69.384321861587154</v>
      </c>
    </row>
    <row r="9" spans="1:11" x14ac:dyDescent="0.25">
      <c r="A9" s="5" t="str">
        <f t="shared" si="3"/>
        <v>STEM</v>
      </c>
      <c r="B9" s="5" t="str">
        <f t="shared" si="3"/>
        <v>SPS4</v>
      </c>
      <c r="C9" s="5" t="str">
        <f t="shared" si="4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35.611767962170134</v>
      </c>
      <c r="G9" s="1" cm="1">
        <f t="array" ref="G9">SUMPRODUCT(("RNNWWST1"=[1]OUT_PrimaryEnergyCons!$A$1:$A$1000)*1,[1]OUT_PrimaryEnergyCons!E$1:E$1000)</f>
        <v>35.882382865449536</v>
      </c>
      <c r="H9" s="1" cm="1">
        <f t="array" ref="H9">SUMPRODUCT(("RNNWWST1"=[1]OUT_PrimaryEnergyCons!$A$1:$A$1000)*1,[1]OUT_PrimaryEnergyCons!F$1:F$1000)</f>
        <v>35.489472925590491</v>
      </c>
      <c r="I9" s="1" cm="1">
        <f t="array" ref="I9">SUMPRODUCT(("RNNWWST1"=[1]OUT_PrimaryEnergyCons!$A$1:$A$1000)*1,[1]OUT_PrimaryEnergyCons!G$1:G$1000)</f>
        <v>35.039965152075986</v>
      </c>
      <c r="J9" s="1" cm="1">
        <f t="array" ref="J9">SUMPRODUCT(("RNNWWST1"=[1]OUT_PrimaryEnergyCons!$A$1:$A$1000)*1,[1]OUT_PrimaryEnergyCons!H$1:H$1000)</f>
        <v>35.159448166941985</v>
      </c>
      <c r="K9" s="1" cm="1">
        <f t="array" ref="K9">SUMPRODUCT(("RNNWWST1"=[1]OUT_PrimaryEnergyCons!$A$1:$A$1000)*1,[1]OUT_PrimaryEnergyCons!I$1:I$1000)</f>
        <v>35.603175499077594</v>
      </c>
    </row>
    <row r="10" spans="1:11" x14ac:dyDescent="0.25">
      <c r="A10" s="5" t="str">
        <f t="shared" si="3"/>
        <v>STEM</v>
      </c>
      <c r="B10" s="5" t="str">
        <f t="shared" si="3"/>
        <v>SPS4</v>
      </c>
      <c r="C10" s="5" t="str">
        <f t="shared" si="4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33.781101896907302</v>
      </c>
      <c r="G10" s="1" cm="1">
        <f t="array" ref="G10">SUMPRODUCT(("RNWWST1"=[1]OUT_PrimaryEnergyCons!$A$1:$A$1000)*1,[1]OUT_PrimaryEnergyCons!E$1:E$1000)</f>
        <v>33.781101298262733</v>
      </c>
      <c r="H10" s="1" cm="1">
        <f t="array" ref="H10">SUMPRODUCT(("RNWWST1"=[1]OUT_PrimaryEnergyCons!$A$1:$A$1000)*1,[1]OUT_PrimaryEnergyCons!F$1:F$1000)</f>
        <v>33.781101453418103</v>
      </c>
      <c r="I10" s="1" cm="1">
        <f t="array" ref="I10">SUMPRODUCT(("RNWWST1"=[1]OUT_PrimaryEnergyCons!$A$1:$A$1000)*1,[1]OUT_PrimaryEnergyCons!G$1:G$1000)</f>
        <v>33.781102253005891</v>
      </c>
      <c r="J10" s="1" cm="1">
        <f t="array" ref="J10">SUMPRODUCT(("RNWWST1"=[1]OUT_PrimaryEnergyCons!$A$1:$A$1000)*1,[1]OUT_PrimaryEnergyCons!H$1:H$1000)</f>
        <v>33.781112630562291</v>
      </c>
      <c r="K10" s="1" cm="1">
        <f t="array" ref="K10">SUMPRODUCT(("RNWWST1"=[1]OUT_PrimaryEnergyCons!$A$1:$A$1000)*1,[1]OUT_PrimaryEnergyCons!I$1:I$1000)</f>
        <v>33.78114636250956</v>
      </c>
    </row>
    <row r="11" spans="1:11" x14ac:dyDescent="0.25">
      <c r="A11" s="5" t="str">
        <f t="shared" si="3"/>
        <v>STEM</v>
      </c>
      <c r="B11" s="5" t="str">
        <f t="shared" si="3"/>
        <v>SPS4</v>
      </c>
      <c r="C11" s="5" t="str">
        <f t="shared" si="4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3.7980852578499023</v>
      </c>
      <c r="G11" s="1" cm="1">
        <f t="array" ref="G11">SUMPRODUCT(("mnr"=[1]OUT_PrimaryEnergyCons!$C$1:$C$1000)*1,[1]OUT_PrimaryEnergyCons!E$1:E$1000)</f>
        <v>10.53613548707494</v>
      </c>
      <c r="H11" s="1" cm="1">
        <f t="array" ref="H11">SUMPRODUCT(("mnr"=[1]OUT_PrimaryEnergyCons!$C$1:$C$1000)*1,[1]OUT_PrimaryEnergyCons!F$1:F$1000)</f>
        <v>10.536628308361355</v>
      </c>
      <c r="I11" s="1" cm="1">
        <f t="array" ref="I11">SUMPRODUCT(("mnr"=[1]OUT_PrimaryEnergyCons!$C$1:$C$1000)*1,[1]OUT_PrimaryEnergyCons!G$1:G$1000)</f>
        <v>14.741684845067226</v>
      </c>
      <c r="J11" s="1" cm="1">
        <f t="array" ref="J11">SUMPRODUCT(("mnr"=[1]OUT_PrimaryEnergyCons!$C$1:$C$1000)*1,[1]OUT_PrimaryEnergyCons!H$1:H$1000)</f>
        <v>21.582233450318377</v>
      </c>
      <c r="K11" s="1" cm="1">
        <f t="array" ref="K11">SUMPRODUCT(("mnr"=[1]OUT_PrimaryEnergyCons!$C$1:$C$1000)*1,[1]OUT_PrimaryEnergyCons!I$1:I$1000)</f>
        <v>26.999996725975773</v>
      </c>
    </row>
    <row r="12" spans="1:11" x14ac:dyDescent="0.25">
      <c r="A12" s="5" t="str">
        <f t="shared" si="3"/>
        <v>STEM</v>
      </c>
      <c r="B12" s="5" t="str">
        <f t="shared" si="3"/>
        <v>SPS4</v>
      </c>
      <c r="C12" s="5" t="str">
        <f t="shared" si="4"/>
        <v>CH</v>
      </c>
      <c r="D12" t="s">
        <v>774</v>
      </c>
      <c r="E12" t="s">
        <v>8</v>
      </c>
      <c r="F12" s="1">
        <f>SUM(F13:F15)</f>
        <v>149.43048155513719</v>
      </c>
      <c r="G12" s="1">
        <f t="shared" ref="G12:K12" si="6">SUM(G13:G15)</f>
        <v>125.60530121745145</v>
      </c>
      <c r="H12" s="1">
        <f t="shared" si="6"/>
        <v>192.8451482410442</v>
      </c>
      <c r="I12" s="1">
        <f t="shared" si="6"/>
        <v>150.38556575195361</v>
      </c>
      <c r="J12" s="1">
        <f t="shared" si="6"/>
        <v>151.23325847618054</v>
      </c>
      <c r="K12" s="1">
        <f t="shared" si="6"/>
        <v>151.73914059274364</v>
      </c>
    </row>
    <row r="13" spans="1:11" x14ac:dyDescent="0.25">
      <c r="A13" s="5" t="str">
        <f t="shared" si="3"/>
        <v>STEM</v>
      </c>
      <c r="B13" s="5" t="str">
        <f t="shared" si="3"/>
        <v>SPS4</v>
      </c>
      <c r="C13" s="5" t="str">
        <f t="shared" si="4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66.745679999930999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49.798800988665533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68.536815682906209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70.225171135770708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72.772887627226268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69.178233945386481</v>
      </c>
    </row>
    <row r="14" spans="1:11" x14ac:dyDescent="0.25">
      <c r="A14" s="5" t="str">
        <f t="shared" si="3"/>
        <v>STEM</v>
      </c>
      <c r="B14" s="5" t="str">
        <f t="shared" si="3"/>
        <v>SPS4</v>
      </c>
      <c r="C14" s="5" t="str">
        <f t="shared" si="4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66.632400240500999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55.764002585785605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65.54852505634905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64.464360078239537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62.540333935611407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66.134977866950578</v>
      </c>
    </row>
    <row r="15" spans="1:11" x14ac:dyDescent="0.25">
      <c r="A15" s="5" t="str">
        <f t="shared" si="3"/>
        <v>STEM</v>
      </c>
      <c r="B15" s="5" t="str">
        <f t="shared" si="3"/>
        <v>SPS4</v>
      </c>
      <c r="C15" s="5" t="str">
        <f t="shared" si="4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16.052401314705218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20.042497643000324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58.759807501788949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15.69603453794338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15.920036913342878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16.425928780406593</v>
      </c>
    </row>
    <row r="16" spans="1:11" x14ac:dyDescent="0.25">
      <c r="A16" s="5" t="str">
        <f t="shared" si="3"/>
        <v>STEM</v>
      </c>
      <c r="B16" s="5" t="str">
        <f t="shared" si="3"/>
        <v>SPS4</v>
      </c>
      <c r="C16" s="5" t="str">
        <f t="shared" si="4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12.5564556997849</v>
      </c>
      <c r="G16" s="1" cm="1">
        <f t="array" ref="G16">SUMPRODUCT(ISNUMBER(SEARCH("SOL",[1]OUT_PrimaryEnergyCons!$C$1:$C$1000))*1,[1]OUT_PrimaryEnergyCons!E$1:E$1000)</f>
        <v>16.523406497406022</v>
      </c>
      <c r="H16" s="1" cm="1">
        <f t="array" ref="H16">SUMPRODUCT(ISNUMBER(SEARCH("SOL",[1]OUT_PrimaryEnergyCons!$C$1:$C$1000))*1,[1]OUT_PrimaryEnergyCons!F$1:F$1000)</f>
        <v>30.360525298571201</v>
      </c>
      <c r="I16" s="1" cm="1">
        <f t="array" ref="I16">SUMPRODUCT(ISNUMBER(SEARCH("SOL",[1]OUT_PrimaryEnergyCons!$C$1:$C$1000))*1,[1]OUT_PrimaryEnergyCons!G$1:G$1000)</f>
        <v>34.724793680267311</v>
      </c>
      <c r="J16" s="1" cm="1">
        <f t="array" ref="J16">SUMPRODUCT(ISNUMBER(SEARCH("SOL",[1]OUT_PrimaryEnergyCons!$C$1:$C$1000))*1,[1]OUT_PrimaryEnergyCons!H$1:H$1000)</f>
        <v>47.044501332929372</v>
      </c>
      <c r="K16" s="1" cm="1">
        <f t="array" ref="K16">SUMPRODUCT(ISNUMBER(SEARCH("SOL",[1]OUT_PrimaryEnergyCons!$C$1:$C$1000))*1,[1]OUT_PrimaryEnergyCons!I$1:I$1000)</f>
        <v>78.008105266705584</v>
      </c>
    </row>
    <row r="17" spans="1:18" x14ac:dyDescent="0.25">
      <c r="A17" s="5" t="str">
        <f t="shared" si="3"/>
        <v>STEM</v>
      </c>
      <c r="B17" s="5" t="str">
        <f t="shared" si="3"/>
        <v>SPS4</v>
      </c>
      <c r="C17" s="5" t="str">
        <f t="shared" si="4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0.52401467012432068</v>
      </c>
      <c r="G17" s="1" cm="1">
        <f t="array" ref="G17">SUMPRODUCT(ISNUMBER(SEARCH("wnd",[1]OUT_PrimaryEnergyCons!$C$1:$C$1000))*1,[1]OUT_PrimaryEnergyCons!E$1:E$1000)</f>
        <v>0.54529256595922093</v>
      </c>
      <c r="H17" s="1" cm="1">
        <f t="array" ref="H17">SUMPRODUCT(ISNUMBER(SEARCH("wnd",[1]OUT_PrimaryEnergyCons!$C$1:$C$1000))*1,[1]OUT_PrimaryEnergyCons!F$1:F$1000)</f>
        <v>0.50318546883184467</v>
      </c>
      <c r="I17" s="1" cm="1">
        <f t="array" ref="I17">SUMPRODUCT(ISNUMBER(SEARCH("wnd",[1]OUT_PrimaryEnergyCons!$C$1:$C$1000))*1,[1]OUT_PrimaryEnergyCons!G$1:G$1000)</f>
        <v>2.489821502322346</v>
      </c>
      <c r="J17" s="1" cm="1">
        <f t="array" ref="J17">SUMPRODUCT(ISNUMBER(SEARCH("wnd",[1]OUT_PrimaryEnergyCons!$C$1:$C$1000))*1,[1]OUT_PrimaryEnergyCons!H$1:H$1000)</f>
        <v>6.6693049856603936</v>
      </c>
      <c r="K17" s="1" cm="1">
        <f t="array" ref="K17">SUMPRODUCT(ISNUMBER(SEARCH("wnd",[1]OUT_PrimaryEnergyCons!$C$1:$C$1000))*1,[1]OUT_PrimaryEnergyCons!I$1:I$1000)</f>
        <v>13.338577415473088</v>
      </c>
    </row>
    <row r="18" spans="1:18" x14ac:dyDescent="0.25">
      <c r="A18" s="5" t="str">
        <f t="shared" si="3"/>
        <v>STEM</v>
      </c>
      <c r="B18" s="5" t="str">
        <f t="shared" si="3"/>
        <v>SPS4</v>
      </c>
      <c r="C18" s="5" t="str">
        <f t="shared" si="4"/>
        <v>CH</v>
      </c>
      <c r="D18" t="s">
        <v>777</v>
      </c>
      <c r="E18" t="s">
        <v>8</v>
      </c>
      <c r="F18" s="1">
        <f>[1]Overview!B$9-F19</f>
        <v>18.873037648312543</v>
      </c>
      <c r="G18" s="1">
        <f>[1]Overview!C$9-G19</f>
        <v>21.777404352733122</v>
      </c>
      <c r="H18" s="1">
        <f>[1]Overview!D$9-H19</f>
        <v>30.507432982539122</v>
      </c>
      <c r="I18" s="1">
        <f>[1]Overview!E$9-I19</f>
        <v>44.085772516778484</v>
      </c>
      <c r="J18" s="1">
        <f>[1]Overview!F$9-J19</f>
        <v>62.754953660703727</v>
      </c>
      <c r="K18" s="1">
        <f>[1]Overview!G$9-K19</f>
        <v>79.219911004723727</v>
      </c>
    </row>
    <row r="19" spans="1:18" x14ac:dyDescent="0.25">
      <c r="A19" s="5" t="str">
        <f t="shared" si="3"/>
        <v>STEM</v>
      </c>
      <c r="B19" s="5" t="str">
        <f t="shared" si="3"/>
        <v>SPS4</v>
      </c>
      <c r="C19" s="5" t="str">
        <f t="shared" si="4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3.3543064861073529E-2</v>
      </c>
      <c r="K19" s="1">
        <f>+[1]Overview!G$28</f>
        <v>3.3585273612433263E-2</v>
      </c>
    </row>
    <row r="20" spans="1:18" x14ac:dyDescent="0.25">
      <c r="A20" s="9" t="str">
        <f t="shared" si="3"/>
        <v>STEM</v>
      </c>
      <c r="B20" s="9" t="str">
        <f t="shared" si="3"/>
        <v>SPS4</v>
      </c>
      <c r="C20" s="2" t="str">
        <f t="shared" si="4"/>
        <v>CH</v>
      </c>
      <c r="D20" s="2" t="s">
        <v>19</v>
      </c>
      <c r="E20" s="2" t="s">
        <v>8</v>
      </c>
      <c r="F20" s="3">
        <f t="shared" ref="F20:K20" si="7">SUM(F21:F22,F39,F48:F49,F54)</f>
        <v>779.93906914448041</v>
      </c>
      <c r="G20" s="3">
        <f t="shared" si="7"/>
        <v>702.31524263077779</v>
      </c>
      <c r="H20" s="3">
        <f t="shared" si="7"/>
        <v>633.25200748920349</v>
      </c>
      <c r="I20" s="3">
        <f t="shared" si="7"/>
        <v>556.45152815507527</v>
      </c>
      <c r="J20" s="3">
        <f t="shared" si="7"/>
        <v>356.69989963688778</v>
      </c>
      <c r="K20" s="3">
        <f t="shared" si="7"/>
        <v>186.45847005680926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3"/>
        <v>STEM</v>
      </c>
      <c r="B21" s="5" t="str">
        <f t="shared" si="3"/>
        <v>SPS4</v>
      </c>
      <c r="C21" s="5" t="str">
        <f t="shared" si="4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3.6600014276038904</v>
      </c>
      <c r="G21" s="1" cm="1">
        <f t="array" ref="G21">SUMPRODUCT(("COA"=[1]OUT_PrimaryEnergyCons!$C$4:$C$10000)*1,[1]OUT_PrimaryEnergyCons!E$4:E$10000)</f>
        <v>3.5647166876924925</v>
      </c>
      <c r="H21" s="1" cm="1">
        <f t="array" ref="H21">SUMPRODUCT(("COA"=[1]OUT_PrimaryEnergyCons!$C$4:$C$10000)*1,[1]OUT_PrimaryEnergyCons!F$4:F$10000)</f>
        <v>3.2525428857421632</v>
      </c>
      <c r="I21" s="1" cm="1">
        <f t="array" ref="I21">SUMPRODUCT(("COA"=[1]OUT_PrimaryEnergyCons!$C$4:$C$10000)*1,[1]OUT_PrimaryEnergyCons!G$4:G$10000)</f>
        <v>6.8246252735741425E-3</v>
      </c>
      <c r="J21" s="1" cm="1">
        <f t="array" ref="J21">SUMPRODUCT(("COA"=[1]OUT_PrimaryEnergyCons!$C$4:$C$10000)*1,[1]OUT_PrimaryEnergyCons!H$4:H$10000)</f>
        <v>3.336828852408488E-4</v>
      </c>
      <c r="K21" s="1" cm="1">
        <f t="array" ref="K21">SUMPRODUCT(("COA"=[1]OUT_PrimaryEnergyCons!$C$4:$C$10000)*1,[1]OUT_PrimaryEnergyCons!I$4:I$10000)</f>
        <v>9.5725429957025708E-5</v>
      </c>
    </row>
    <row r="22" spans="1:18" x14ac:dyDescent="0.25">
      <c r="A22" s="5" t="str">
        <f t="shared" si="3"/>
        <v>STEM</v>
      </c>
      <c r="B22" s="5" t="str">
        <f t="shared" si="3"/>
        <v>SPS4</v>
      </c>
      <c r="C22" s="5" t="str">
        <f t="shared" si="4"/>
        <v>CH</v>
      </c>
      <c r="D22" t="s">
        <v>780</v>
      </c>
      <c r="E22" t="s">
        <v>8</v>
      </c>
      <c r="F22" s="1">
        <f>F23+F29</f>
        <v>311.16880926865855</v>
      </c>
      <c r="G22" s="1">
        <f t="shared" ref="G22:K22" si="8">G23+G29</f>
        <v>288.34474006007383</v>
      </c>
      <c r="H22" s="1">
        <f t="shared" si="8"/>
        <v>254.79636944830199</v>
      </c>
      <c r="I22" s="1">
        <f t="shared" si="8"/>
        <v>188.65533223484661</v>
      </c>
      <c r="J22" s="1">
        <f t="shared" si="8"/>
        <v>131.31076187798436</v>
      </c>
      <c r="K22" s="1">
        <f t="shared" si="8"/>
        <v>94.608131624221684</v>
      </c>
    </row>
    <row r="23" spans="1:18" x14ac:dyDescent="0.25">
      <c r="A23" s="5" t="str">
        <f t="shared" ref="A23:B23" si="9">A22</f>
        <v>STEM</v>
      </c>
      <c r="B23" s="5" t="str">
        <f t="shared" si="9"/>
        <v>SPS4</v>
      </c>
      <c r="C23" s="5" t="str">
        <f t="shared" ref="C23" si="10">C22</f>
        <v>CH</v>
      </c>
      <c r="D23" t="s">
        <v>781</v>
      </c>
      <c r="E23" t="s">
        <v>8</v>
      </c>
      <c r="F23" s="1">
        <f>SUM(F24:F28)</f>
        <v>304.13163004099692</v>
      </c>
      <c r="G23" s="1">
        <f t="shared" ref="G23:K23" si="11">SUM(G24:G28)</f>
        <v>280.70053572930198</v>
      </c>
      <c r="H23" s="1">
        <f t="shared" si="11"/>
        <v>248.38981571349456</v>
      </c>
      <c r="I23" s="1">
        <f t="shared" si="11"/>
        <v>182.33865620495018</v>
      </c>
      <c r="J23" s="1">
        <f t="shared" si="11"/>
        <v>125.55929844278516</v>
      </c>
      <c r="K23" s="1">
        <f t="shared" si="11"/>
        <v>89.448727292324378</v>
      </c>
    </row>
    <row r="24" spans="1:18" x14ac:dyDescent="0.25">
      <c r="A24" s="5" t="str">
        <f>A22</f>
        <v>STEM</v>
      </c>
      <c r="B24" s="5" t="str">
        <f t="shared" ref="B24:B87" si="12">B23</f>
        <v>SPS4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101.72880733245017</v>
      </c>
      <c r="G24" s="1" cm="1">
        <f t="array" ref="G24">SUMPRODUCT(("LFO"=[1]OUT_PrimaryEnergyCons!$C$4:$C$10000)*1,[1]OUT_PrimaryEnergyCons!E$4:E$10000)</f>
        <v>90.977470961500657</v>
      </c>
      <c r="H24" s="1" cm="1">
        <f t="array" ref="H24">SUMPRODUCT(("LFO"=[1]OUT_PrimaryEnergyCons!$C$4:$C$10000)*1,[1]OUT_PrimaryEnergyCons!F$4:F$10000)</f>
        <v>86.664303402749795</v>
      </c>
      <c r="I24" s="1" cm="1">
        <f t="array" ref="I24">SUMPRODUCT(("LFO"=[1]OUT_PrimaryEnergyCons!$C$4:$C$10000)*1,[1]OUT_PrimaryEnergyCons!G$4:G$10000)</f>
        <v>60.632663294907928</v>
      </c>
      <c r="J24" s="1" cm="1">
        <f t="array" ref="J24">SUMPRODUCT(("LFO"=[1]OUT_PrimaryEnergyCons!$C$4:$C$10000)*1,[1]OUT_PrimaryEnergyCons!H$4:H$10000)</f>
        <v>33.276146215505619</v>
      </c>
      <c r="K24" s="1" cm="1">
        <f t="array" ref="K24">SUMPRODUCT(("LFO"=[1]OUT_PrimaryEnergyCons!$C$4:$C$10000)*1,[1]OUT_PrimaryEnergyCons!I$4:I$10000)</f>
        <v>11.120919194000487</v>
      </c>
    </row>
    <row r="25" spans="1:18" x14ac:dyDescent="0.25">
      <c r="A25" s="5" t="str">
        <f t="shared" si="3"/>
        <v>STEM</v>
      </c>
      <c r="B25" s="5" t="str">
        <f t="shared" si="12"/>
        <v>SPS4</v>
      </c>
      <c r="C25" s="5" t="str">
        <f t="shared" si="4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2.7763696549967132</v>
      </c>
      <c r="G25" s="1" cm="1">
        <f t="array" ref="G25">SUMPRODUCT(("HFO"=[1]OUT_PrimaryEnergyCons!$C$4:$C$10000)*1,[1]OUT_PrimaryEnergyCons!E$4:E$10000)</f>
        <v>2.278149624022481E-4</v>
      </c>
      <c r="H25" s="1" cm="1">
        <f t="array" ref="H25">SUMPRODUCT(("HFO"=[1]OUT_PrimaryEnergyCons!$C$4:$C$10000)*1,[1]OUT_PrimaryEnergyCons!F$4:F$10000)</f>
        <v>6.6834567980590394E-4</v>
      </c>
      <c r="I25" s="1" cm="1">
        <f t="array" ref="I25">SUMPRODUCT(("HFO"=[1]OUT_PrimaryEnergyCons!$C$4:$C$10000)*1,[1]OUT_PrimaryEnergyCons!G$4:G$10000)</f>
        <v>4.4597618900430505E-4</v>
      </c>
      <c r="J25" s="1" cm="1">
        <f t="array" ref="J25">SUMPRODUCT(("HFO"=[1]OUT_PrimaryEnergyCons!$C$4:$C$10000)*1,[1]OUT_PrimaryEnergyCons!H$4:H$10000)</f>
        <v>3.6026310428607434E-4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3"/>
        <v>STEM</v>
      </c>
      <c r="B26" s="5" t="str">
        <f t="shared" si="12"/>
        <v>SPS4</v>
      </c>
      <c r="C26" s="5" t="str">
        <f t="shared" si="4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119.01074159153833</v>
      </c>
      <c r="G26" s="1" cm="1">
        <f t="array" ref="G26">SUMPRODUCT(("DSL"=[1]OUT_PrimaryEnergyCons!$C$4:$C$10000)*1,[1]OUT_PrimaryEnergyCons!E$4:E$10000)</f>
        <v>108.38380550476082</v>
      </c>
      <c r="H26" s="1" cm="1">
        <f t="array" ref="H26">SUMPRODUCT(("DSL"=[1]OUT_PrimaryEnergyCons!$C$4:$C$10000)*1,[1]OUT_PrimaryEnergyCons!F$4:F$10000)</f>
        <v>87.578643016963113</v>
      </c>
      <c r="I26" s="1" cm="1">
        <f t="array" ref="I26">SUMPRODUCT(("DSL"=[1]OUT_PrimaryEnergyCons!$C$4:$C$10000)*1,[1]OUT_PrimaryEnergyCons!G$4:G$10000)</f>
        <v>60.653524634368758</v>
      </c>
      <c r="J26" s="1" cm="1">
        <f t="array" ref="J26">SUMPRODUCT(("DSL"=[1]OUT_PrimaryEnergyCons!$C$4:$C$10000)*1,[1]OUT_PrimaryEnergyCons!H$4:H$10000)</f>
        <v>51.532195812545851</v>
      </c>
      <c r="K26" s="1" cm="1">
        <f t="array" ref="K26">SUMPRODUCT(("DSL"=[1]OUT_PrimaryEnergyCons!$C$4:$C$10000)*1,[1]OUT_PrimaryEnergyCons!I$4:I$10000)</f>
        <v>48.15018385667971</v>
      </c>
    </row>
    <row r="27" spans="1:18" x14ac:dyDescent="0.25">
      <c r="A27" s="5" t="str">
        <f t="shared" si="3"/>
        <v>STEM</v>
      </c>
      <c r="B27" s="5" t="str">
        <f t="shared" si="12"/>
        <v>SPS4</v>
      </c>
      <c r="C27" s="5" t="str">
        <f t="shared" si="4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79.506326095632531</v>
      </c>
      <c r="G27" s="1" cm="1">
        <f t="array" ref="G27">SUMPRODUCT(("GSL"=[1]OUT_PrimaryEnergyCons!$C$4:$C$10000)*1,[1]OUT_PrimaryEnergyCons!E$4:E$10000)</f>
        <v>79.933816564524363</v>
      </c>
      <c r="H27" s="1" cm="1">
        <f t="array" ref="H27">SUMPRODUCT(("GSL"=[1]OUT_PrimaryEnergyCons!$C$4:$C$10000)*1,[1]OUT_PrimaryEnergyCons!F$4:F$10000)</f>
        <v>72.297241788786152</v>
      </c>
      <c r="I27" s="1" cm="1">
        <f t="array" ref="I27">SUMPRODUCT(("GSL"=[1]OUT_PrimaryEnergyCons!$C$4:$C$10000)*1,[1]OUT_PrimaryEnergyCons!G$4:G$10000)</f>
        <v>59.063839411805112</v>
      </c>
      <c r="J27" s="1" cm="1">
        <f t="array" ref="J27">SUMPRODUCT(("GSL"=[1]OUT_PrimaryEnergyCons!$C$4:$C$10000)*1,[1]OUT_PrimaryEnergyCons!H$4:H$10000)</f>
        <v>40.402879466696504</v>
      </c>
      <c r="K27" s="1" cm="1">
        <f t="array" ref="K27">SUMPRODUCT(("GSL"=[1]OUT_PrimaryEnergyCons!$C$4:$C$10000)*1,[1]OUT_PrimaryEnergyCons!I$4:I$10000)</f>
        <v>30.177613625652821</v>
      </c>
    </row>
    <row r="28" spans="1:18" x14ac:dyDescent="0.25">
      <c r="A28" s="5" t="str">
        <f t="shared" ref="A28" si="13">A27</f>
        <v>STEM</v>
      </c>
      <c r="B28" s="5" t="str">
        <f t="shared" si="12"/>
        <v>SPS4</v>
      </c>
      <c r="C28" s="5" t="str">
        <f t="shared" ref="C28" si="14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1.9881828876793761</v>
      </c>
      <c r="J28" s="1" cm="1">
        <f t="array" ref="J28">SUMPRODUCT(("KER"=[1]OUT_PrimaryEnergyCons!$C$4:$C$10000)*1,[1]OUT_PrimaryEnergyCons!H$4:H$10000)</f>
        <v>0.34771668493290808</v>
      </c>
      <c r="K28" s="1" cm="1">
        <f t="array" ref="K28">SUMPRODUCT(("KER"=[1]OUT_PrimaryEnergyCons!$C$4:$C$10000)*1,[1]OUT_PrimaryEnergyCons!I$4:I$10000)</f>
        <v>1.0615991350646792E-5</v>
      </c>
    </row>
    <row r="29" spans="1:18" x14ac:dyDescent="0.25">
      <c r="A29" s="5" t="str">
        <f>A48</f>
        <v>STEM</v>
      </c>
      <c r="B29" s="5" t="str">
        <f t="shared" si="12"/>
        <v>SPS4</v>
      </c>
      <c r="C29" s="5" t="str">
        <f>C48</f>
        <v>CH</v>
      </c>
      <c r="D29" t="s">
        <v>782</v>
      </c>
      <c r="E29" t="s">
        <v>8</v>
      </c>
      <c r="F29" s="1">
        <f>SUM(F30:F31)</f>
        <v>7.037179227661607</v>
      </c>
      <c r="G29" s="1">
        <f t="shared" ref="G29:K29" si="15">SUM(G30:G31)</f>
        <v>7.6442043307718786</v>
      </c>
      <c r="H29" s="1">
        <f t="shared" si="15"/>
        <v>6.4065537348074191</v>
      </c>
      <c r="I29" s="1">
        <f t="shared" si="15"/>
        <v>6.3166760298964286</v>
      </c>
      <c r="J29" s="1">
        <f t="shared" si="15"/>
        <v>5.7514634351992111</v>
      </c>
      <c r="K29" s="1">
        <f t="shared" si="15"/>
        <v>5.1594043318973002</v>
      </c>
    </row>
    <row r="30" spans="1:18" x14ac:dyDescent="0.25">
      <c r="A30" s="5" t="str">
        <f>A35</f>
        <v>STEM</v>
      </c>
      <c r="B30" s="5" t="str">
        <f t="shared" si="12"/>
        <v>SPS4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2.6030290179564557</v>
      </c>
      <c r="G30" s="1" cm="1">
        <f t="array" ref="G30">SUMPRODUCT(ISNUMBER(SEARCH("IMPBDS",[1]OUT_SyntheticFuels!$C$4:$C$1000))*1,("Var_Fout"=[1]OUT_SyntheticFuels!$B$4:$B$1000)*1,[1]OUT_SyntheticFuels!F$4:F$1000)</f>
        <v>3.0152108037319412</v>
      </c>
      <c r="H30" s="1" cm="1">
        <f t="array" ref="H30">SUMPRODUCT(ISNUMBER(SEARCH("IMPBDS",[1]OUT_SyntheticFuels!$C$4:$C$1000))*1,("Var_Fout"=[1]OUT_SyntheticFuels!$B$4:$B$1000)*1,[1]OUT_SyntheticFuels!G$4:G$1000)</f>
        <v>2.3895895950508308</v>
      </c>
      <c r="I30" s="1" cm="1">
        <f t="array" ref="I30">SUMPRODUCT(ISNUMBER(SEARCH("IMPBDS",[1]OUT_SyntheticFuels!$C$4:$C$1000))*1,("Var_Fout"=[1]OUT_SyntheticFuels!$B$4:$B$1000)*1,[1]OUT_SyntheticFuels!H$4:H$1000)</f>
        <v>3.0150659024708375</v>
      </c>
      <c r="J30" s="1" cm="1">
        <f t="array" ref="J30">SUMPRODUCT(ISNUMBER(SEARCH("IMPBDS",[1]OUT_SyntheticFuels!$C$4:$C$1000))*1,("Var_Fout"=[1]OUT_SyntheticFuels!$B$4:$B$1000)*1,[1]OUT_SyntheticFuels!I$4:I$1000)</f>
        <v>3.4115690485310362</v>
      </c>
      <c r="K30" s="1" cm="1">
        <f t="array" ref="K30">SUMPRODUCT(ISNUMBER(SEARCH("IMPBDS",[1]OUT_SyntheticFuels!$C$4:$C$1000))*1,("Var_Fout"=[1]OUT_SyntheticFuels!$B$4:$B$1000)*1,[1]OUT_SyntheticFuels!J$4:J$1000)</f>
        <v>3.411625004674649</v>
      </c>
    </row>
    <row r="31" spans="1:18" x14ac:dyDescent="0.25">
      <c r="A31" s="5" t="str">
        <f>A30</f>
        <v>STEM</v>
      </c>
      <c r="B31" s="5" t="str">
        <f t="shared" si="12"/>
        <v>SPS4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4.4341502097051508</v>
      </c>
      <c r="G31" s="1" cm="1">
        <f t="array" ref="G31">SUMPRODUCT(ISNUMBER(SEARCH("IMPeth",[1]OUT_SyntheticFuels!$C$4:$C$1000))*1,("Var_Fout"=[1]OUT_SyntheticFuels!$B$4:$B$1000)*1,[1]OUT_SyntheticFuels!F$4:F$1000)</f>
        <v>4.6289935270399374</v>
      </c>
      <c r="H31" s="1" cm="1">
        <f t="array" ref="H31">SUMPRODUCT(ISNUMBER(SEARCH("IMPeth",[1]OUT_SyntheticFuels!$C$4:$C$1000))*1,("Var_Fout"=[1]OUT_SyntheticFuels!$B$4:$B$1000)*1,[1]OUT_SyntheticFuels!G$4:G$1000)</f>
        <v>4.0169641397565883</v>
      </c>
      <c r="I31" s="1" cm="1">
        <f t="array" ref="I31">SUMPRODUCT(ISNUMBER(SEARCH("IMPeth",[1]OUT_SyntheticFuels!$C$4:$C$1000))*1,("Var_Fout"=[1]OUT_SyntheticFuels!$B$4:$B$1000)*1,[1]OUT_SyntheticFuels!H$4:H$1000)</f>
        <v>3.3016101274255911</v>
      </c>
      <c r="J31" s="1" cm="1">
        <f t="array" ref="J31">SUMPRODUCT(ISNUMBER(SEARCH("IMPeth",[1]OUT_SyntheticFuels!$C$4:$C$1000))*1,("Var_Fout"=[1]OUT_SyntheticFuels!$B$4:$B$1000)*1,[1]OUT_SyntheticFuels!I$4:I$1000)</f>
        <v>2.339894386668175</v>
      </c>
      <c r="K31" s="1" cm="1">
        <f t="array" ref="K31">SUMPRODUCT(ISNUMBER(SEARCH("IMPeth",[1]OUT_SyntheticFuels!$C$4:$C$1000))*1,("Var_Fout"=[1]OUT_SyntheticFuels!$B$4:$B$1000)*1,[1]OUT_SyntheticFuels!J$4:J$1000)</f>
        <v>1.7477793272226512</v>
      </c>
    </row>
    <row r="32" spans="1:18" x14ac:dyDescent="0.25">
      <c r="A32" s="5" t="str">
        <f>A29</f>
        <v>STEM</v>
      </c>
      <c r="B32" s="5" t="str">
        <f t="shared" si="12"/>
        <v>SPS4</v>
      </c>
      <c r="C32" s="5" t="str">
        <f>C29</f>
        <v>CH</v>
      </c>
      <c r="D32" t="s">
        <v>532</v>
      </c>
      <c r="E32" t="s">
        <v>8</v>
      </c>
      <c r="F32" s="1">
        <f t="shared" ref="F32:K32" si="16">SUM(F33:F34)</f>
        <v>7.037179227661607</v>
      </c>
      <c r="G32" s="1">
        <f t="shared" si="16"/>
        <v>7.6442043307718786</v>
      </c>
      <c r="H32" s="1">
        <f t="shared" si="16"/>
        <v>6.4065537348074191</v>
      </c>
      <c r="I32" s="1">
        <f t="shared" si="16"/>
        <v>6.3166760298964286</v>
      </c>
      <c r="J32" s="1">
        <f t="shared" si="16"/>
        <v>5.3551051904001161</v>
      </c>
      <c r="K32" s="1">
        <f t="shared" si="16"/>
        <v>5.1593483757536873</v>
      </c>
    </row>
    <row r="33" spans="1:11" x14ac:dyDescent="0.25">
      <c r="A33" s="5" t="str">
        <f>A31</f>
        <v>STEM</v>
      </c>
      <c r="B33" s="5" t="str">
        <f t="shared" si="12"/>
        <v>SPS4</v>
      </c>
      <c r="C33" s="5" t="str">
        <f>C31</f>
        <v>CH</v>
      </c>
      <c r="D33" t="s">
        <v>533</v>
      </c>
      <c r="E33" t="s">
        <v>8</v>
      </c>
      <c r="F33" s="1">
        <f t="shared" ref="F33:I34" si="17">F30</f>
        <v>2.6030290179564557</v>
      </c>
      <c r="G33" s="1">
        <f t="shared" si="17"/>
        <v>3.0152108037319412</v>
      </c>
      <c r="H33" s="1">
        <f t="shared" si="17"/>
        <v>2.3895895950508308</v>
      </c>
      <c r="I33" s="1">
        <f t="shared" si="17"/>
        <v>3.0150659024708375</v>
      </c>
      <c r="J33" s="1">
        <f>IF(J30-MAX(F30:I30)&lt;0,J30,MAX(F30:I30))</f>
        <v>3.0152108037319412</v>
      </c>
      <c r="K33" s="1">
        <f>IF(K30-MAX(F30:J30)&lt;0,K30,MAX(F30:J30))</f>
        <v>3.4115690485310362</v>
      </c>
    </row>
    <row r="34" spans="1:11" x14ac:dyDescent="0.25">
      <c r="A34" s="5" t="str">
        <f>A33</f>
        <v>STEM</v>
      </c>
      <c r="B34" s="5" t="str">
        <f t="shared" si="12"/>
        <v>SPS4</v>
      </c>
      <c r="C34" s="5" t="str">
        <f>C33</f>
        <v>CH</v>
      </c>
      <c r="D34" t="s">
        <v>534</v>
      </c>
      <c r="E34" t="s">
        <v>8</v>
      </c>
      <c r="F34" s="1">
        <f t="shared" si="17"/>
        <v>4.4341502097051508</v>
      </c>
      <c r="G34" s="1">
        <f t="shared" si="17"/>
        <v>4.6289935270399374</v>
      </c>
      <c r="H34" s="1">
        <f t="shared" si="17"/>
        <v>4.0169641397565883</v>
      </c>
      <c r="I34" s="1">
        <f t="shared" si="17"/>
        <v>3.3016101274255911</v>
      </c>
      <c r="J34" s="1">
        <f>IF(J31-MAX(F31:I31)&lt;0,J31,MAX(F31:I31))</f>
        <v>2.339894386668175</v>
      </c>
      <c r="K34" s="1">
        <f>IF(K31-MAX(F31:J31)&lt;0,K31,MAX(F31:J31))</f>
        <v>1.7477793272226512</v>
      </c>
    </row>
    <row r="35" spans="1:11" x14ac:dyDescent="0.25">
      <c r="A35" s="5" t="str">
        <f>A32</f>
        <v>STEM</v>
      </c>
      <c r="B35" s="5" t="str">
        <f t="shared" si="12"/>
        <v>SPS4</v>
      </c>
      <c r="C35" s="5" t="str">
        <f>C32</f>
        <v>CH</v>
      </c>
      <c r="D35" t="s">
        <v>783</v>
      </c>
      <c r="E35" t="s">
        <v>8</v>
      </c>
      <c r="F35" s="1">
        <f t="shared" ref="F35:K35" si="18">SUM(F36:F37)</f>
        <v>0</v>
      </c>
      <c r="G35" s="1">
        <f t="shared" si="18"/>
        <v>0</v>
      </c>
      <c r="H35" s="1">
        <f t="shared" si="18"/>
        <v>0</v>
      </c>
      <c r="I35" s="1">
        <f t="shared" si="18"/>
        <v>0</v>
      </c>
      <c r="J35" s="1">
        <f t="shared" si="18"/>
        <v>0.39635824479909498</v>
      </c>
      <c r="K35" s="1">
        <f t="shared" si="18"/>
        <v>5.5956143612867493E-5</v>
      </c>
    </row>
    <row r="36" spans="1:11" x14ac:dyDescent="0.25">
      <c r="A36" s="5" t="str">
        <f>A34</f>
        <v>STEM</v>
      </c>
      <c r="B36" s="5" t="str">
        <f t="shared" si="12"/>
        <v>SPS4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0.39635824479909498</v>
      </c>
      <c r="K36" s="1">
        <f>K30-K33</f>
        <v>5.5956143612867493E-5</v>
      </c>
    </row>
    <row r="37" spans="1:11" x14ac:dyDescent="0.25">
      <c r="A37" s="5" t="str">
        <f>A36</f>
        <v>STEM</v>
      </c>
      <c r="B37" s="5" t="str">
        <f t="shared" si="12"/>
        <v>SPS4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25">
      <c r="A38" s="5"/>
      <c r="B38" s="5" t="str">
        <f t="shared" si="12"/>
        <v>SPS4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19">A28</f>
        <v>STEM</v>
      </c>
      <c r="B39" s="5" t="str">
        <f t="shared" si="12"/>
        <v>SPS4</v>
      </c>
      <c r="C39" s="5" t="str">
        <f t="shared" si="19"/>
        <v>CH</v>
      </c>
      <c r="D39" t="s">
        <v>784</v>
      </c>
      <c r="E39" t="s">
        <v>8</v>
      </c>
      <c r="F39" s="1">
        <f>F40+F43</f>
        <v>117.0020852666234</v>
      </c>
      <c r="G39" s="1">
        <f t="shared" ref="G39:K39" si="20">G40+G43</f>
        <v>106.83188971996834</v>
      </c>
      <c r="H39" s="1">
        <f t="shared" si="20"/>
        <v>108.93319017627653</v>
      </c>
      <c r="I39" s="1">
        <f t="shared" si="20"/>
        <v>107.3829897295317</v>
      </c>
      <c r="J39" s="1">
        <f t="shared" si="20"/>
        <v>79.371384599087108</v>
      </c>
      <c r="K39" s="1">
        <f t="shared" si="20"/>
        <v>52.689224697889145</v>
      </c>
    </row>
    <row r="40" spans="1:11" x14ac:dyDescent="0.25">
      <c r="A40" s="5" t="str">
        <f t="shared" si="19"/>
        <v>STEM</v>
      </c>
      <c r="B40" s="5" t="str">
        <f t="shared" si="12"/>
        <v>SPS4</v>
      </c>
      <c r="C40" s="5" t="str">
        <f t="shared" si="19"/>
        <v>CH</v>
      </c>
      <c r="D40" t="s">
        <v>549</v>
      </c>
      <c r="E40" t="s">
        <v>8</v>
      </c>
      <c r="F40" s="1">
        <f>F41+F42</f>
        <v>117.0020852666234</v>
      </c>
      <c r="G40" s="1">
        <f t="shared" ref="G40:K40" si="21">G41+G42</f>
        <v>106.71999990040375</v>
      </c>
      <c r="H40" s="1">
        <f t="shared" si="21"/>
        <v>108.30175106928201</v>
      </c>
      <c r="I40" s="1">
        <f t="shared" si="21"/>
        <v>106.66199473314491</v>
      </c>
      <c r="J40" s="1">
        <f t="shared" si="21"/>
        <v>78.049389329411952</v>
      </c>
      <c r="K40" s="1">
        <f t="shared" si="21"/>
        <v>48.67607300426004</v>
      </c>
    </row>
    <row r="41" spans="1:11" x14ac:dyDescent="0.25">
      <c r="A41" s="5" t="str">
        <f>A27</f>
        <v>STEM</v>
      </c>
      <c r="B41" s="5" t="str">
        <f t="shared" si="12"/>
        <v>SPS4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117.0020852666234</v>
      </c>
      <c r="G41" s="1" cm="1">
        <f t="array" ref="G41">SUMPRODUCT(("NGA"=[1]OUT_PrimaryEnergyCons!$C$4:$C$10000)*1,[1]OUT_PrimaryEnergyCons!E$4:E$10000)</f>
        <v>106.71999990040375</v>
      </c>
      <c r="H41" s="1" cm="1">
        <f t="array" ref="H41">SUMPRODUCT(("NGA"=[1]OUT_PrimaryEnergyCons!$C$4:$C$10000)*1,[1]OUT_PrimaryEnergyCons!F$4:F$10000)</f>
        <v>108.30175106928201</v>
      </c>
      <c r="I41" s="1" cm="1">
        <f t="array" ref="I41">SUMPRODUCT(("NGA"=[1]OUT_PrimaryEnergyCons!$C$4:$C$10000)*1,[1]OUT_PrimaryEnergyCons!G$4:G$10000)</f>
        <v>106.66153969256575</v>
      </c>
      <c r="J41" s="1" cm="1">
        <f t="array" ref="J41">SUMPRODUCT(("NGA"=[1]OUT_PrimaryEnergyCons!$C$4:$C$10000)*1,[1]OUT_PrimaryEnergyCons!H$4:H$10000)</f>
        <v>78.048740787350468</v>
      </c>
      <c r="K41" s="1" cm="1">
        <f t="array" ref="K41">SUMPRODUCT(("NGA"=[1]OUT_PrimaryEnergyCons!$C$4:$C$10000)*1,[1]OUT_PrimaryEnergyCons!I$4:I$10000)</f>
        <v>48.675717937303283</v>
      </c>
    </row>
    <row r="42" spans="1:11" x14ac:dyDescent="0.25">
      <c r="A42" s="5" t="str">
        <f t="shared" si="3"/>
        <v>STEM</v>
      </c>
      <c r="B42" s="5" t="str">
        <f t="shared" si="12"/>
        <v>SPS4</v>
      </c>
      <c r="C42" s="5" t="str">
        <f t="shared" si="4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4.5504057915017826E-4</v>
      </c>
      <c r="J42" s="1" cm="1">
        <f t="array" ref="J42">SUMPRODUCT(("LNGA"=[1]OUT_PrimaryEnergyCons!$C$4:$C$10000)*1,[1]OUT_PrimaryEnergyCons!H$4:H$10000)</f>
        <v>6.4854206148598471E-4</v>
      </c>
      <c r="K42" s="1" cm="1">
        <f t="array" ref="K42">SUMPRODUCT(("LNGA"=[1]OUT_PrimaryEnergyCons!$C$4:$C$10000)*1,[1]OUT_PrimaryEnergyCons!I$4:I$10000)</f>
        <v>3.5506695675961925E-4</v>
      </c>
    </row>
    <row r="43" spans="1:11" x14ac:dyDescent="0.25">
      <c r="A43" s="5" t="str">
        <f>A37</f>
        <v>STEM</v>
      </c>
      <c r="B43" s="5" t="str">
        <f t="shared" si="12"/>
        <v>SPS4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0.11188981956459397</v>
      </c>
      <c r="H43" s="1" cm="1">
        <f t="array" ref="H43">SUMPRODUCT(("BIO"=[1]OUT_PrimaryEnergyCons!$C$4:$C$10000)*1+("LBIO"=[1]OUT_PrimaryEnergyCons!$C$4:$C$10000)*1,[1]OUT_PrimaryEnergyCons!F$4:F$10000)</f>
        <v>0.63143910699451566</v>
      </c>
      <c r="I43" s="1" cm="1">
        <f t="array" ref="I43">SUMPRODUCT(("BIO"=[1]OUT_PrimaryEnergyCons!$C$4:$C$10000)*1+("LBIO"=[1]OUT_PrimaryEnergyCons!$C$4:$C$10000)*1,[1]OUT_PrimaryEnergyCons!G$4:G$10000)</f>
        <v>0.72099499638679754</v>
      </c>
      <c r="J43" s="1" cm="1">
        <f t="array" ref="J43">SUMPRODUCT(("BIO"=[1]OUT_PrimaryEnergyCons!$C$4:$C$10000)*1+("LBIO"=[1]OUT_PrimaryEnergyCons!$C$4:$C$10000)*1,[1]OUT_PrimaryEnergyCons!H$4:H$10000)</f>
        <v>1.3219952696751602</v>
      </c>
      <c r="K43" s="1" cm="1">
        <f t="array" ref="K43">SUMPRODUCT(("BIO"=[1]OUT_PrimaryEnergyCons!$C$4:$C$10000)*1+("LBIO"=[1]OUT_PrimaryEnergyCons!$C$4:$C$10000)*1,[1]OUT_PrimaryEnergyCons!I$4:I$10000)</f>
        <v>4.0131516936291076</v>
      </c>
    </row>
    <row r="44" spans="1:11" x14ac:dyDescent="0.25">
      <c r="A44" s="5" t="str">
        <f t="shared" ref="A44:C45" si="22">A43</f>
        <v>STEM</v>
      </c>
      <c r="B44" s="5" t="str">
        <f t="shared" si="12"/>
        <v>SPS4</v>
      </c>
      <c r="C44" s="5" t="str">
        <f t="shared" si="22"/>
        <v>CH</v>
      </c>
      <c r="D44" t="s">
        <v>786</v>
      </c>
      <c r="E44" t="s">
        <v>8</v>
      </c>
      <c r="F44" s="1">
        <f t="shared" ref="F44:K44" si="23">F45</f>
        <v>0</v>
      </c>
      <c r="G44" s="1">
        <f t="shared" si="23"/>
        <v>0.11188981956459397</v>
      </c>
      <c r="H44" s="1">
        <f t="shared" si="23"/>
        <v>0.63143910699451566</v>
      </c>
      <c r="I44" s="1">
        <f t="shared" si="23"/>
        <v>0.72099499638679754</v>
      </c>
      <c r="J44" s="1">
        <f t="shared" si="23"/>
        <v>0.72099499638679754</v>
      </c>
      <c r="K44" s="1">
        <f t="shared" si="23"/>
        <v>1.3219952696751602</v>
      </c>
    </row>
    <row r="45" spans="1:11" x14ac:dyDescent="0.25">
      <c r="A45" s="5" t="str">
        <f t="shared" si="22"/>
        <v>STEM</v>
      </c>
      <c r="B45" s="5" t="str">
        <f t="shared" si="12"/>
        <v>SPS4</v>
      </c>
      <c r="C45" s="5" t="str">
        <f t="shared" si="22"/>
        <v>CH</v>
      </c>
      <c r="D45" t="s">
        <v>611</v>
      </c>
      <c r="E45" t="s">
        <v>8</v>
      </c>
      <c r="F45" s="1">
        <f>F43</f>
        <v>0</v>
      </c>
      <c r="G45" s="1">
        <f>G43</f>
        <v>0.11188981956459397</v>
      </c>
      <c r="H45" s="1">
        <f>H43</f>
        <v>0.63143910699451566</v>
      </c>
      <c r="I45" s="1">
        <f>I43</f>
        <v>0.72099499638679754</v>
      </c>
      <c r="J45" s="1">
        <f>IF(J43-MAX(F43:I43)&lt;0,J43,MAX(F43:I43))</f>
        <v>0.72099499638679754</v>
      </c>
      <c r="K45" s="1">
        <f>IF(K43-MAX(G43:J43)&lt;0,K43,MAX(G43:J43))</f>
        <v>1.3219952696751602</v>
      </c>
    </row>
    <row r="46" spans="1:11" x14ac:dyDescent="0.25">
      <c r="A46" s="5" t="str">
        <f>A44</f>
        <v>STEM</v>
      </c>
      <c r="B46" s="5" t="str">
        <f t="shared" si="12"/>
        <v>SPS4</v>
      </c>
      <c r="C46" s="5" t="str">
        <f>C44</f>
        <v>CH</v>
      </c>
      <c r="D46" t="s">
        <v>787</v>
      </c>
      <c r="E46" t="s">
        <v>8</v>
      </c>
      <c r="F46" s="1">
        <f t="shared" ref="F46:K46" si="24">F47</f>
        <v>0</v>
      </c>
      <c r="G46" s="1">
        <f t="shared" si="24"/>
        <v>0</v>
      </c>
      <c r="H46" s="1">
        <f t="shared" si="24"/>
        <v>0</v>
      </c>
      <c r="I46" s="1">
        <f t="shared" si="24"/>
        <v>0</v>
      </c>
      <c r="J46" s="1">
        <f t="shared" si="24"/>
        <v>0.6010002732883627</v>
      </c>
      <c r="K46" s="1">
        <f t="shared" si="24"/>
        <v>2.6911564239539474</v>
      </c>
    </row>
    <row r="47" spans="1:11" x14ac:dyDescent="0.25">
      <c r="A47" s="5" t="str">
        <f t="shared" ref="A47" si="25">A45</f>
        <v>STEM</v>
      </c>
      <c r="B47" s="5" t="str">
        <f t="shared" si="12"/>
        <v>SPS4</v>
      </c>
      <c r="C47" s="5" t="str">
        <f t="shared" ref="C47" si="26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0.6010002732883627</v>
      </c>
      <c r="K47" s="1">
        <f>K43-K45</f>
        <v>2.6911564239539474</v>
      </c>
    </row>
    <row r="48" spans="1:11" x14ac:dyDescent="0.25">
      <c r="A48" s="5" t="str">
        <f>A42</f>
        <v>STEM</v>
      </c>
      <c r="B48" s="5" t="str">
        <f t="shared" si="12"/>
        <v>SPS4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250.94817287120787</v>
      </c>
      <c r="G48" s="1" cm="1">
        <f t="array" ref="G48">SUMPRODUCT(("urn"=[1]OUT_PrimaryEnergyCons!$C$4:$C$10000)*1,[1]OUT_PrimaryEnergyCons!E$4:E$10000)</f>
        <v>253.29982394302303</v>
      </c>
      <c r="H48" s="1" cm="1">
        <f t="array" ref="H48">SUMPRODUCT(("urn"=[1]OUT_PrimaryEnergyCons!$C$4:$C$10000)*1,[1]OUT_PrimaryEnergyCons!F$4:F$10000)</f>
        <v>215.8177884421992</v>
      </c>
      <c r="I48" s="1" cm="1">
        <f t="array" ref="I48">SUMPRODUCT(("urn"=[1]OUT_PrimaryEnergyCons!$C$4:$C$10000)*1,[1]OUT_PrimaryEnergyCons!G$4:G$10000)</f>
        <v>209.65777737863678</v>
      </c>
      <c r="J48" s="1" cm="1">
        <f t="array" ref="J48">SUMPRODUCT(("urn"=[1]OUT_PrimaryEnergyCons!$C$4:$C$10000)*1,[1]OUT_PrimaryEnergyCons!H$4:H$10000)</f>
        <v>98.94549837349372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t="shared" si="12"/>
        <v>SPS4</v>
      </c>
      <c r="C49" s="5" t="str">
        <f>C37</f>
        <v>CH</v>
      </c>
      <c r="D49" t="s">
        <v>789</v>
      </c>
      <c r="E49" t="s">
        <v>8</v>
      </c>
      <c r="F49" s="1">
        <f>SUM(F50:F53)</f>
        <v>97.160000310386607</v>
      </c>
      <c r="G49" s="1">
        <f t="shared" ref="G49:K49" si="27">SUM(G50:G53)</f>
        <v>50.274072220020152</v>
      </c>
      <c r="H49" s="1">
        <f t="shared" si="27"/>
        <v>50.452116536683675</v>
      </c>
      <c r="I49" s="1">
        <f t="shared" si="27"/>
        <v>50.748604186786622</v>
      </c>
      <c r="J49" s="1">
        <f t="shared" si="27"/>
        <v>46.849508980885304</v>
      </c>
      <c r="K49" s="1">
        <f t="shared" si="27"/>
        <v>38.938604011895791</v>
      </c>
    </row>
    <row r="50" spans="1:19" x14ac:dyDescent="0.25">
      <c r="A50" s="5" t="str">
        <f t="shared" si="3"/>
        <v>STEM</v>
      </c>
      <c r="B50" s="5" t="str">
        <f t="shared" si="12"/>
        <v>SPS4</v>
      </c>
      <c r="C50" s="5" t="str">
        <f t="shared" si="4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15.013805600359564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0.20059819732123396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0.10319990144630869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0.12983956461177762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5.3046430088950616E-2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8.8338192960751877E-2</v>
      </c>
    </row>
    <row r="51" spans="1:19" x14ac:dyDescent="0.25">
      <c r="A51" s="5" t="str">
        <f t="shared" si="3"/>
        <v>STEM</v>
      </c>
      <c r="B51" s="5" t="str">
        <f t="shared" si="12"/>
        <v>SPS4</v>
      </c>
      <c r="C51" s="5" t="str">
        <f t="shared" si="4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28.948621075058483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14.181439136763565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18.725854180318713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12.483171710514094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11.321775329329371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10.389003328858351</v>
      </c>
    </row>
    <row r="52" spans="1:19" x14ac:dyDescent="0.25">
      <c r="A52" s="5" t="str">
        <f t="shared" si="3"/>
        <v>STEM</v>
      </c>
      <c r="B52" s="5" t="str">
        <f t="shared" si="12"/>
        <v>SPS4</v>
      </c>
      <c r="C52" s="5" t="str">
        <f t="shared" si="4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46.398475558501573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35.891849205198618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31.622899408519753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38.135521314842329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35.474594954526495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28.461176740403385</v>
      </c>
    </row>
    <row r="53" spans="1:19" x14ac:dyDescent="0.25">
      <c r="A53" s="5" t="str">
        <f t="shared" si="3"/>
        <v>STEM</v>
      </c>
      <c r="B53" s="5" t="str">
        <f t="shared" si="12"/>
        <v>SPS4</v>
      </c>
      <c r="C53" s="5" t="str">
        <f t="shared" si="4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6.7990980764669917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1.856807367376446E-4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1.6304639889949565E-4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7.1596818422577535E-5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9.2266940484499714E-5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8.5749673302188453E-5</v>
      </c>
    </row>
    <row r="54" spans="1:19" x14ac:dyDescent="0.25">
      <c r="A54" s="5" t="str">
        <f t="shared" ref="A54" si="28">A53</f>
        <v>STEM</v>
      </c>
      <c r="B54" s="5" t="str">
        <f t="shared" si="12"/>
        <v>SPS4</v>
      </c>
      <c r="C54" s="5" t="str">
        <f t="shared" ref="C54" si="29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0.22241212255204187</v>
      </c>
      <c r="K54" s="1" cm="1">
        <f t="array" ref="K54">SUMPRODUCT(("h2"=[1]OUT_PrimaryEnergyCons!$C$4:$C$10000)*1,[1]OUT_PrimaryEnergyCons!I$4:I$10000)</f>
        <v>0.22241399737269177</v>
      </c>
    </row>
    <row r="55" spans="1:19" x14ac:dyDescent="0.25">
      <c r="A55" s="9" t="str">
        <f>A53</f>
        <v>STEM</v>
      </c>
      <c r="B55" s="9" t="str">
        <f t="shared" si="12"/>
        <v>SPS4</v>
      </c>
      <c r="C55" s="2" t="str">
        <f>C53</f>
        <v>CH</v>
      </c>
      <c r="D55" s="2" t="s">
        <v>24</v>
      </c>
      <c r="E55" s="2" t="s">
        <v>8</v>
      </c>
      <c r="F55" s="3">
        <f>F56</f>
        <v>117.1700019326265</v>
      </c>
      <c r="G55" s="3">
        <f t="shared" ref="G55:K55" si="30">G56</f>
        <v>35.42624267806459</v>
      </c>
      <c r="H55" s="3">
        <f t="shared" si="30"/>
        <v>54.796191384368882</v>
      </c>
      <c r="I55" s="3">
        <f t="shared" si="30"/>
        <v>55.616312287096392</v>
      </c>
      <c r="J55" s="3">
        <f t="shared" si="30"/>
        <v>23.789448942624141</v>
      </c>
      <c r="K55" s="3">
        <f t="shared" si="30"/>
        <v>16.318351249557502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12"/>
        <v>SPS4</v>
      </c>
      <c r="C56" s="5" t="str">
        <f t="shared" si="4"/>
        <v>CH</v>
      </c>
      <c r="D56" t="s">
        <v>791</v>
      </c>
      <c r="E56" t="str">
        <f>E55</f>
        <v>PJ/yr.</v>
      </c>
      <c r="F56" s="1">
        <f>SUM(F57:F60)</f>
        <v>117.1700019326265</v>
      </c>
      <c r="G56" s="1">
        <f t="shared" ref="G56:K56" si="31">SUM(G57:G60)</f>
        <v>35.42624267806459</v>
      </c>
      <c r="H56" s="1">
        <f t="shared" si="31"/>
        <v>54.796191384368882</v>
      </c>
      <c r="I56" s="1">
        <f t="shared" si="31"/>
        <v>55.616312287096392</v>
      </c>
      <c r="J56" s="1">
        <f t="shared" si="31"/>
        <v>23.789448942624141</v>
      </c>
      <c r="K56" s="1">
        <f t="shared" si="31"/>
        <v>16.318351249557502</v>
      </c>
      <c r="N56" s="1"/>
    </row>
    <row r="57" spans="1:19" x14ac:dyDescent="0.25">
      <c r="A57" s="5" t="str">
        <f t="shared" ref="A57:A61" si="32">A56</f>
        <v>STEM</v>
      </c>
      <c r="B57" s="5" t="str">
        <f t="shared" si="12"/>
        <v>SPS4</v>
      </c>
      <c r="C57" s="5" t="str">
        <f t="shared" si="4"/>
        <v>CH</v>
      </c>
      <c r="D57" t="s">
        <v>25</v>
      </c>
      <c r="E57" t="str">
        <f t="shared" ref="E57:E60" si="33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6.2295555511042444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2.8846889171064174E-4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3.4845461346781045E-4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6.7968442276893505E-5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8.8924678924087716E-5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5.2907038359206552E-5</v>
      </c>
    </row>
    <row r="58" spans="1:19" x14ac:dyDescent="0.25">
      <c r="A58" s="5" t="str">
        <f t="shared" si="32"/>
        <v>STEM</v>
      </c>
      <c r="B58" s="5" t="str">
        <f t="shared" si="12"/>
        <v>SPS4</v>
      </c>
      <c r="C58" s="5" t="str">
        <f t="shared" si="4"/>
        <v>CH</v>
      </c>
      <c r="D58" t="s">
        <v>26</v>
      </c>
      <c r="E58" t="str">
        <f t="shared" si="33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12.753359201544781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2.4799524607023432E-4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2.461116361306078E-4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1.3261752598820565E-4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4.3975977908537349E-4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2.7021477061074954E-4</v>
      </c>
    </row>
    <row r="59" spans="1:19" x14ac:dyDescent="0.25">
      <c r="A59" s="5" t="str">
        <f t="shared" si="32"/>
        <v>STEM</v>
      </c>
      <c r="B59" s="5" t="str">
        <f t="shared" si="12"/>
        <v>SPS4</v>
      </c>
      <c r="C59" s="5" t="str">
        <f t="shared" si="4"/>
        <v>CH</v>
      </c>
      <c r="D59" t="s">
        <v>27</v>
      </c>
      <c r="E59" t="str">
        <f t="shared" si="33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26.492979441930757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1.8114471804500109E-4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2.119202051016119E-4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1.5899081669198863E-4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4.565126658987809E-4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1.2946300689982559E-4</v>
      </c>
    </row>
    <row r="60" spans="1:19" x14ac:dyDescent="0.25">
      <c r="A60" s="5" t="str">
        <f t="shared" si="32"/>
        <v>STEM</v>
      </c>
      <c r="B60" s="5" t="str">
        <f t="shared" si="12"/>
        <v>SPS4</v>
      </c>
      <c r="C60" s="5" t="str">
        <f t="shared" si="4"/>
        <v>CH</v>
      </c>
      <c r="D60" t="s">
        <v>28</v>
      </c>
      <c r="E60" t="str">
        <f t="shared" si="33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71.694107738046725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35.425525069208767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54.795384897914182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55.615952710311433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23.788463745500234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16.31789866474163</v>
      </c>
    </row>
    <row r="61" spans="1:19" x14ac:dyDescent="0.25">
      <c r="A61" s="9" t="str">
        <f t="shared" si="32"/>
        <v>STEM</v>
      </c>
      <c r="B61" s="9" t="str">
        <f t="shared" si="12"/>
        <v>SPS4</v>
      </c>
      <c r="C61" s="2" t="str">
        <f t="shared" ref="C61:C62" si="34">C60</f>
        <v>CH</v>
      </c>
      <c r="D61" s="2" t="s">
        <v>29</v>
      </c>
      <c r="E61" s="2" t="s">
        <v>8</v>
      </c>
      <c r="F61" s="3">
        <f>SUM(F62,F64,F68,F80,F128,F149,F157,F159,F167,F171,F165)</f>
        <v>251.15654659390552</v>
      </c>
      <c r="G61" s="3">
        <f t="shared" ref="G61:K61" si="35">SUM(G62,G64,G72,G80,G128,G149,G157,G159,G167,G171,G165)</f>
        <v>229.28080399094975</v>
      </c>
      <c r="H61" s="3">
        <f t="shared" si="35"/>
        <v>292.151879833029</v>
      </c>
      <c r="I61" s="3">
        <f t="shared" si="35"/>
        <v>264.71690973221939</v>
      </c>
      <c r="J61" s="3">
        <f t="shared" si="35"/>
        <v>251.59601554469185</v>
      </c>
      <c r="K61" s="3">
        <f t="shared" si="35"/>
        <v>258.95174180758778</v>
      </c>
    </row>
    <row r="62" spans="1:19" x14ac:dyDescent="0.25">
      <c r="A62" s="5" t="str">
        <f>A61</f>
        <v>STEM</v>
      </c>
      <c r="B62" s="5" t="str">
        <f t="shared" si="12"/>
        <v>SPS4</v>
      </c>
      <c r="C62" s="5" t="str">
        <f t="shared" si="34"/>
        <v>CH</v>
      </c>
      <c r="D62" t="s">
        <v>792</v>
      </c>
      <c r="E62" t="str">
        <f>E60</f>
        <v>PJ/yr.</v>
      </c>
      <c r="F62" s="1">
        <f>+F63</f>
        <v>82.759999999979996</v>
      </c>
      <c r="G62" s="1">
        <f t="shared" ref="G62:K62" si="36">+G63</f>
        <v>82.759972904714232</v>
      </c>
      <c r="H62" s="1">
        <f t="shared" si="36"/>
        <v>70.327298875169021</v>
      </c>
      <c r="I62" s="1">
        <f t="shared" si="36"/>
        <v>69.196991281316016</v>
      </c>
      <c r="J62" s="1">
        <f t="shared" si="36"/>
        <v>32.820799657291687</v>
      </c>
      <c r="K62" s="1">
        <f t="shared" si="36"/>
        <v>0</v>
      </c>
    </row>
    <row r="63" spans="1:19" x14ac:dyDescent="0.25">
      <c r="A63" s="5" t="str">
        <f t="shared" ref="A63:B147" si="37">A62</f>
        <v>STEM</v>
      </c>
      <c r="B63" s="5" t="str">
        <f t="shared" si="12"/>
        <v>SPS4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">
        <f>'[1]Electricity and CHPs'!B14</f>
        <v>82.759999999979996</v>
      </c>
      <c r="G63" s="1">
        <f>'[1]Electricity and CHPs'!C14</f>
        <v>82.759972904714232</v>
      </c>
      <c r="H63" s="1">
        <f>'[1]Electricity and CHPs'!D14</f>
        <v>70.327298875169021</v>
      </c>
      <c r="I63" s="1">
        <f>'[1]Electricity and CHPs'!E14</f>
        <v>69.196991281316016</v>
      </c>
      <c r="J63" s="1">
        <f>'[1]Electricity and CHPs'!F14</f>
        <v>32.820799657291687</v>
      </c>
      <c r="K63" s="1">
        <f>'[1]Electricity and CHPs'!G14</f>
        <v>0</v>
      </c>
    </row>
    <row r="64" spans="1:19" x14ac:dyDescent="0.25">
      <c r="A64" s="5" t="str">
        <f t="shared" si="37"/>
        <v>STEM</v>
      </c>
      <c r="B64" s="5" t="str">
        <f t="shared" si="12"/>
        <v>SPS4</v>
      </c>
      <c r="C64" s="5" t="str">
        <f t="shared" si="38"/>
        <v>CH</v>
      </c>
      <c r="D64" t="s">
        <v>793</v>
      </c>
      <c r="E64" t="str">
        <f>E63</f>
        <v>PJ/yr.</v>
      </c>
      <c r="F64" s="1">
        <f>SUM(F65:F67)</f>
        <v>146.22000124834244</v>
      </c>
      <c r="G64" s="1">
        <f t="shared" ref="G64:K64" si="39">SUM(G65:G67)</f>
        <v>121.59680044104414</v>
      </c>
      <c r="H64" s="1">
        <f t="shared" si="39"/>
        <v>181.09318648686718</v>
      </c>
      <c r="I64" s="1">
        <f t="shared" si="39"/>
        <v>147.24635942681846</v>
      </c>
      <c r="J64" s="1">
        <f t="shared" si="39"/>
        <v>148.04925429592967</v>
      </c>
      <c r="K64" s="1">
        <f t="shared" si="39"/>
        <v>148.45395700669005</v>
      </c>
    </row>
    <row r="65" spans="1:11" x14ac:dyDescent="0.25">
      <c r="A65" s="5" t="str">
        <f t="shared" si="37"/>
        <v>STEM</v>
      </c>
      <c r="B65" s="5" t="str">
        <f t="shared" si="12"/>
        <v>SPS4</v>
      </c>
      <c r="C65" s="5" t="str">
        <f t="shared" si="38"/>
        <v>CH</v>
      </c>
      <c r="D65" t="s">
        <v>31</v>
      </c>
      <c r="E65" t="str">
        <f>E63</f>
        <v>PJ/yr.</v>
      </c>
      <c r="F65" s="1">
        <f>'[1]Electricity and CHPs'!B15</f>
        <v>66.745679999930999</v>
      </c>
      <c r="G65" s="1">
        <f>'[1]Electricity and CHPs'!C15</f>
        <v>49.798800988665533</v>
      </c>
      <c r="H65" s="1">
        <f>'[1]Electricity and CHPs'!D15</f>
        <v>68.536815682906209</v>
      </c>
      <c r="I65" s="1">
        <f>'[1]Electricity and CHPs'!E15</f>
        <v>70.225171135770708</v>
      </c>
      <c r="J65" s="1">
        <f>'[1]Electricity and CHPs'!F15</f>
        <v>72.772887627226268</v>
      </c>
      <c r="K65" s="1">
        <f>'[1]Electricity and CHPs'!G15</f>
        <v>69.178233945386481</v>
      </c>
    </row>
    <row r="66" spans="1:11" x14ac:dyDescent="0.25">
      <c r="A66" s="5" t="str">
        <f t="shared" si="37"/>
        <v>STEM</v>
      </c>
      <c r="B66" s="5" t="str">
        <f t="shared" si="12"/>
        <v>SPS4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">
        <f>'[1]Electricity and CHPs'!B16</f>
        <v>66.632400240500999</v>
      </c>
      <c r="G66" s="1">
        <f>'[1]Electricity and CHPs'!C16</f>
        <v>55.764002585785605</v>
      </c>
      <c r="H66" s="1">
        <f>'[1]Electricity and CHPs'!D16</f>
        <v>65.54852505634905</v>
      </c>
      <c r="I66" s="1">
        <f>'[1]Electricity and CHPs'!E16</f>
        <v>64.464360078239537</v>
      </c>
      <c r="J66" s="1">
        <f>'[1]Electricity and CHPs'!F16</f>
        <v>62.540333935611407</v>
      </c>
      <c r="K66" s="1">
        <f>'[1]Electricity and CHPs'!G16</f>
        <v>66.134977866950578</v>
      </c>
    </row>
    <row r="67" spans="1:11" x14ac:dyDescent="0.25">
      <c r="A67" s="5" t="str">
        <f t="shared" si="37"/>
        <v>STEM</v>
      </c>
      <c r="B67" s="5" t="str">
        <f t="shared" si="12"/>
        <v>SPS4</v>
      </c>
      <c r="C67" s="5" t="str">
        <f t="shared" si="38"/>
        <v>CH</v>
      </c>
      <c r="D67" t="s">
        <v>33</v>
      </c>
      <c r="E67" t="str">
        <f t="shared" si="40"/>
        <v>PJ/yr.</v>
      </c>
      <c r="F67" s="1">
        <f>'[1]Electricity and CHPs'!B17</f>
        <v>12.841921007910456</v>
      </c>
      <c r="G67" s="1">
        <f>'[1]Electricity and CHPs'!C17</f>
        <v>16.033996866593</v>
      </c>
      <c r="H67" s="1">
        <f>'[1]Electricity and CHPs'!D17</f>
        <v>47.00784574761191</v>
      </c>
      <c r="I67" s="1">
        <f>'[1]Electricity and CHPs'!E17</f>
        <v>12.556828212808238</v>
      </c>
      <c r="J67" s="1">
        <f>'[1]Electricity and CHPs'!F17</f>
        <v>12.736032733092003</v>
      </c>
      <c r="K67" s="1">
        <f>'[1]Electricity and CHPs'!G17</f>
        <v>13.140745194353002</v>
      </c>
    </row>
    <row r="68" spans="1:11" x14ac:dyDescent="0.25">
      <c r="A68" s="5" t="str">
        <f>A59</f>
        <v>STEM</v>
      </c>
      <c r="B68" s="5" t="str">
        <f t="shared" si="12"/>
        <v>SPS4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0.11190249333960949</v>
      </c>
      <c r="G68" s="1">
        <f t="shared" ref="G68" si="41">SUM(G69:G71)</f>
        <v>0.17152913199580497</v>
      </c>
      <c r="H68" s="1">
        <f t="shared" ref="H68" si="42">SUM(H69:H71)</f>
        <v>6.2965389586892281E-2</v>
      </c>
      <c r="I68" s="1">
        <f t="shared" ref="I68" si="43">SUM(I69:I71)</f>
        <v>0.17153156557726784</v>
      </c>
      <c r="J68" s="1">
        <f t="shared" ref="J68" si="44">SUM(J69:J71)</f>
        <v>2.6287555526004043E-2</v>
      </c>
      <c r="K68" s="1">
        <f t="shared" ref="K68" si="45">SUM(K69:K71)</f>
        <v>3.6854072960995472E-2</v>
      </c>
    </row>
    <row r="69" spans="1:11" x14ac:dyDescent="0.25">
      <c r="A69" s="5" t="str">
        <f>A68</f>
        <v>STEM</v>
      </c>
      <c r="B69" s="5" t="str">
        <f t="shared" si="12"/>
        <v>SPS4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3.9600785401259067E-2</v>
      </c>
      <c r="G69" s="1">
        <f>'[1]Electricity and CHPs'!C18</f>
        <v>1.1671129599295838E-4</v>
      </c>
      <c r="H69" s="1">
        <f>'[1]Electricity and CHPs'!D18</f>
        <v>9.4355031355324828E-4</v>
      </c>
      <c r="I69" s="1">
        <f>'[1]Electricity and CHPs'!E18</f>
        <v>4.2632836176461725E-4</v>
      </c>
      <c r="J69" s="1">
        <f>'[1]Electricity and CHPs'!F18</f>
        <v>9.8006495348749241E-4</v>
      </c>
      <c r="K69" s="1">
        <f>'[1]Electricity and CHPs'!G18</f>
        <v>3.091804900050328E-4</v>
      </c>
    </row>
    <row r="70" spans="1:11" x14ac:dyDescent="0.25">
      <c r="A70" s="5" t="str">
        <f t="shared" ref="A70:A71" si="46">A69</f>
        <v>STEM</v>
      </c>
      <c r="B70" s="5" t="str">
        <f t="shared" si="12"/>
        <v>SPS4</v>
      </c>
      <c r="C70" s="5" t="str">
        <f t="shared" ref="C70:C71" si="47">C69</f>
        <v>CH</v>
      </c>
      <c r="D70" t="s">
        <v>228</v>
      </c>
      <c r="E70" t="str">
        <f>E124</f>
        <v>PJ/yr.</v>
      </c>
      <c r="F70" s="1">
        <f>'[1]Electricity and CHPs'!B28</f>
        <v>1.8007870349370926E-3</v>
      </c>
      <c r="G70" s="1">
        <f>'[1]Electricity and CHPs'!C28</f>
        <v>7.9925855066414217E-5</v>
      </c>
      <c r="H70" s="1">
        <f>'[1]Electricity and CHPs'!D28</f>
        <v>3.3098642038810233E-4</v>
      </c>
      <c r="I70" s="1">
        <f>'[1]Electricity and CHPs'!E28</f>
        <v>2.2661197572200516E-4</v>
      </c>
      <c r="J70" s="1">
        <f>'[1]Electricity and CHPs'!F28</f>
        <v>2.3703535898568753E-4</v>
      </c>
      <c r="K70" s="1">
        <f>'[1]Electricity and CHPs'!G28</f>
        <v>7.7176475332169981E-5</v>
      </c>
    </row>
    <row r="71" spans="1:11" x14ac:dyDescent="0.25">
      <c r="A71" s="5" t="str">
        <f t="shared" si="46"/>
        <v>STEM</v>
      </c>
      <c r="B71" s="5" t="str">
        <f t="shared" si="12"/>
        <v>SPS4</v>
      </c>
      <c r="C71" s="5" t="str">
        <f t="shared" si="47"/>
        <v>CH</v>
      </c>
      <c r="D71" t="s">
        <v>40</v>
      </c>
      <c r="E71" t="str">
        <f>E79</f>
        <v>PJ/yr.</v>
      </c>
      <c r="F71" s="1">
        <f>'[1]Electricity and CHPs'!B41</f>
        <v>7.0500920903413325E-2</v>
      </c>
      <c r="G71" s="1">
        <f>'[1]Electricity and CHPs'!C41</f>
        <v>0.17133249484474561</v>
      </c>
      <c r="H71" s="1">
        <f>'[1]Electricity and CHPs'!D41</f>
        <v>6.169085285295093E-2</v>
      </c>
      <c r="I71" s="1">
        <f>'[1]Electricity and CHPs'!E41</f>
        <v>0.17087862523978123</v>
      </c>
      <c r="J71" s="1">
        <f>'[1]Electricity and CHPs'!F41</f>
        <v>2.5070455213530862E-2</v>
      </c>
      <c r="K71" s="1">
        <f>'[1]Electricity and CHPs'!G41</f>
        <v>3.6467715995658269E-2</v>
      </c>
    </row>
    <row r="72" spans="1:11" x14ac:dyDescent="0.25">
      <c r="A72" s="5" t="str">
        <f>A67</f>
        <v>STEM</v>
      </c>
      <c r="B72" s="5" t="str">
        <f t="shared" si="12"/>
        <v>SPS4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0.11190249333960949</v>
      </c>
      <c r="G72" s="1">
        <f t="shared" ref="G72:K72" si="48">SUM(G73:G75)</f>
        <v>0.17152913199580497</v>
      </c>
      <c r="H72" s="1">
        <f t="shared" si="48"/>
        <v>6.2965389586892281E-2</v>
      </c>
      <c r="I72" s="1">
        <f t="shared" si="48"/>
        <v>0.17153156557726784</v>
      </c>
      <c r="J72" s="1">
        <f t="shared" si="48"/>
        <v>2.6287555526004043E-2</v>
      </c>
      <c r="K72" s="1">
        <f t="shared" si="48"/>
        <v>3.6854072960995472E-2</v>
      </c>
    </row>
    <row r="73" spans="1:11" x14ac:dyDescent="0.25">
      <c r="A73" s="5" t="str">
        <f>A72</f>
        <v>STEM</v>
      </c>
      <c r="B73" s="5" t="str">
        <f t="shared" si="12"/>
        <v>SPS4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3.9600785401259067E-2</v>
      </c>
      <c r="G73" s="1">
        <f t="shared" ref="G73:K73" si="49">G69</f>
        <v>1.1671129599295838E-4</v>
      </c>
      <c r="H73" s="1">
        <f t="shared" si="49"/>
        <v>9.4355031355324828E-4</v>
      </c>
      <c r="I73" s="1">
        <f t="shared" si="49"/>
        <v>4.2632836176461725E-4</v>
      </c>
      <c r="J73" s="1">
        <f t="shared" si="49"/>
        <v>9.8006495348749241E-4</v>
      </c>
      <c r="K73" s="1">
        <f t="shared" si="49"/>
        <v>3.091804900050328E-4</v>
      </c>
    </row>
    <row r="74" spans="1:11" x14ac:dyDescent="0.25">
      <c r="A74" s="5" t="str">
        <f t="shared" si="37"/>
        <v>STEM</v>
      </c>
      <c r="B74" s="5" t="str">
        <f t="shared" si="12"/>
        <v>SPS4</v>
      </c>
      <c r="C74" s="5" t="str">
        <f t="shared" si="38"/>
        <v>CH</v>
      </c>
      <c r="D74" t="s">
        <v>515</v>
      </c>
      <c r="E74" t="str">
        <f>E132</f>
        <v>PJ/yr.</v>
      </c>
      <c r="F74" s="1">
        <f>'[1]Electricity and CHPs'!B28</f>
        <v>1.8007870349370926E-3</v>
      </c>
      <c r="G74" s="1">
        <f>'[1]Electricity and CHPs'!C28</f>
        <v>7.9925855066414217E-5</v>
      </c>
      <c r="H74" s="1">
        <f>'[1]Electricity and CHPs'!D28</f>
        <v>3.3098642038810233E-4</v>
      </c>
      <c r="I74" s="1">
        <f>'[1]Electricity and CHPs'!E28</f>
        <v>2.2661197572200516E-4</v>
      </c>
      <c r="J74" s="1">
        <f>'[1]Electricity and CHPs'!F28</f>
        <v>2.3703535898568753E-4</v>
      </c>
      <c r="K74" s="1">
        <f>'[1]Electricity and CHPs'!G28</f>
        <v>7.7176475332169981E-5</v>
      </c>
    </row>
    <row r="75" spans="1:11" x14ac:dyDescent="0.25">
      <c r="A75" s="5" t="str">
        <f t="shared" si="37"/>
        <v>STEM</v>
      </c>
      <c r="B75" s="5" t="str">
        <f t="shared" si="12"/>
        <v>SPS4</v>
      </c>
      <c r="C75" s="5" t="str">
        <f t="shared" si="38"/>
        <v>CH</v>
      </c>
      <c r="D75" t="s">
        <v>516</v>
      </c>
      <c r="E75" t="str">
        <f>E87</f>
        <v>PJ/yr.</v>
      </c>
      <c r="F75" s="1">
        <f>'[1]Electricity and CHPs'!B41</f>
        <v>7.0500920903413325E-2</v>
      </c>
      <c r="G75" s="1">
        <f>'[1]Electricity and CHPs'!C41</f>
        <v>0.17133249484474561</v>
      </c>
      <c r="H75" s="1">
        <f>'[1]Electricity and CHPs'!D41</f>
        <v>6.169085285295093E-2</v>
      </c>
      <c r="I75" s="1">
        <f>'[1]Electricity and CHPs'!E41</f>
        <v>0.17087862523978123</v>
      </c>
      <c r="J75" s="1">
        <f>'[1]Electricity and CHPs'!F41</f>
        <v>2.5070455213530862E-2</v>
      </c>
      <c r="K75" s="1">
        <f>'[1]Electricity and CHPs'!G41</f>
        <v>3.6467715995658269E-2</v>
      </c>
    </row>
    <row r="76" spans="1:11" x14ac:dyDescent="0.25">
      <c r="A76" s="5" t="str">
        <f t="shared" ref="A76:C77" si="50">A74</f>
        <v>STEM</v>
      </c>
      <c r="B76" s="5" t="str">
        <f t="shared" si="12"/>
        <v>SPS4</v>
      </c>
      <c r="C76" s="5" t="str">
        <f t="shared" si="50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1">SUM(G77:G79)</f>
        <v>0</v>
      </c>
      <c r="H76" s="1">
        <f t="shared" si="51"/>
        <v>0</v>
      </c>
      <c r="I76" s="1">
        <f t="shared" si="51"/>
        <v>0</v>
      </c>
      <c r="J76" s="1">
        <f t="shared" si="51"/>
        <v>0</v>
      </c>
      <c r="K76" s="1">
        <f t="shared" si="51"/>
        <v>0</v>
      </c>
    </row>
    <row r="77" spans="1:11" x14ac:dyDescent="0.25">
      <c r="A77" s="5" t="str">
        <f t="shared" si="50"/>
        <v>STEM</v>
      </c>
      <c r="B77" s="5" t="str">
        <f t="shared" si="12"/>
        <v>SPS4</v>
      </c>
      <c r="C77" s="5" t="str">
        <f t="shared" si="50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37"/>
        <v>STEM</v>
      </c>
      <c r="B78" s="5" t="str">
        <f t="shared" si="12"/>
        <v>SPS4</v>
      </c>
      <c r="C78" s="5" t="str">
        <f t="shared" si="38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37"/>
        <v>STEM</v>
      </c>
      <c r="B79" s="5" t="str">
        <f t="shared" si="12"/>
        <v>SPS4</v>
      </c>
      <c r="C79" s="5" t="str">
        <f t="shared" si="38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37"/>
        <v>STEM</v>
      </c>
      <c r="B80" s="5" t="str">
        <f t="shared" si="12"/>
        <v>SPS4</v>
      </c>
      <c r="C80" s="5" t="str">
        <f t="shared" si="38"/>
        <v>CH</v>
      </c>
      <c r="D80" t="s">
        <v>797</v>
      </c>
      <c r="E80" t="str">
        <f>E129</f>
        <v>PJ/yr.</v>
      </c>
      <c r="F80" s="1">
        <f>SUM(F81:F95)</f>
        <v>3.2306288112821147</v>
      </c>
      <c r="G80" s="1">
        <f t="shared" ref="G80:K80" si="52">SUM(G81:G95)</f>
        <v>1.8283536324090139</v>
      </c>
      <c r="H80" s="1">
        <f t="shared" si="52"/>
        <v>1.1817419110250009</v>
      </c>
      <c r="I80" s="1">
        <f t="shared" si="52"/>
        <v>1.6666930798398794</v>
      </c>
      <c r="J80" s="1">
        <f t="shared" si="52"/>
        <v>4.9290397472305862</v>
      </c>
      <c r="K80" s="1">
        <f t="shared" si="52"/>
        <v>4.4370615963828799</v>
      </c>
    </row>
    <row r="81" spans="1:11" x14ac:dyDescent="0.25">
      <c r="A81" s="5" t="str">
        <f t="shared" si="37"/>
        <v>STEM</v>
      </c>
      <c r="B81" s="5" t="str">
        <f t="shared" si="12"/>
        <v>SPS4</v>
      </c>
      <c r="C81" s="5" t="str">
        <f t="shared" si="38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1.3478170840241483E-2</v>
      </c>
      <c r="K81" s="1">
        <f>'[1]Electricity and CHPs'!G21</f>
        <v>2.308464398441846E-3</v>
      </c>
    </row>
    <row r="82" spans="1:11" x14ac:dyDescent="0.25">
      <c r="A82" s="5" t="str">
        <f t="shared" si="37"/>
        <v>STEM</v>
      </c>
      <c r="B82" s="5" t="str">
        <f t="shared" si="12"/>
        <v>SPS4</v>
      </c>
      <c r="C82" s="5" t="str">
        <f t="shared" si="38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4.3319613614401902E-4</v>
      </c>
      <c r="H82" s="1">
        <f>'[1]Electricity and CHPs'!D22</f>
        <v>1.5676588397032761E-3</v>
      </c>
      <c r="I82" s="1">
        <f>'[1]Electricity and CHPs'!E22</f>
        <v>1.4771381365483677E-3</v>
      </c>
      <c r="J82" s="1">
        <f>'[1]Electricity and CHPs'!F22</f>
        <v>6.4114825029501638E-2</v>
      </c>
      <c r="K82" s="1">
        <f>'[1]Electricity and CHPs'!G22</f>
        <v>6.8397208916249636E-3</v>
      </c>
    </row>
    <row r="83" spans="1:11" x14ac:dyDescent="0.25">
      <c r="A83" s="5" t="str">
        <f t="shared" si="37"/>
        <v>STEM</v>
      </c>
      <c r="B83" s="5" t="str">
        <f t="shared" si="12"/>
        <v>SPS4</v>
      </c>
      <c r="C83" s="5" t="str">
        <f t="shared" si="38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25">
      <c r="A84" s="5" t="str">
        <f t="shared" si="37"/>
        <v>STEM</v>
      </c>
      <c r="B84" s="5" t="str">
        <f t="shared" si="12"/>
        <v>SPS4</v>
      </c>
      <c r="C84" s="5" t="str">
        <f t="shared" si="38"/>
        <v>CH</v>
      </c>
      <c r="D84" t="s">
        <v>38</v>
      </c>
      <c r="E84" t="str">
        <f>E83</f>
        <v>PJ/yr.</v>
      </c>
      <c r="F84" s="1">
        <f>'[1]Electricity and CHPs'!B24</f>
        <v>0.96588048299927987</v>
      </c>
      <c r="G84" s="1">
        <f>'[1]Electricity and CHPs'!C24</f>
        <v>4.708654763694575E-4</v>
      </c>
      <c r="H84" s="1">
        <f>'[1]Electricity and CHPs'!D24</f>
        <v>8.1034328856458904E-4</v>
      </c>
      <c r="I84" s="1">
        <f>'[1]Electricity and CHPs'!E24</f>
        <v>2.4180434176640196E-3</v>
      </c>
      <c r="J84" s="1">
        <f>'[1]Electricity and CHPs'!F24</f>
        <v>2.1312438843493144E-3</v>
      </c>
      <c r="K84" s="1">
        <f>'[1]Electricity and CHPs'!G24</f>
        <v>2.1138981648007488E-4</v>
      </c>
    </row>
    <row r="85" spans="1:11" x14ac:dyDescent="0.25">
      <c r="A85" s="5" t="str">
        <f t="shared" si="37"/>
        <v>STEM</v>
      </c>
      <c r="B85" s="5" t="str">
        <f t="shared" si="12"/>
        <v>SPS4</v>
      </c>
      <c r="C85" s="5" t="str">
        <f t="shared" si="38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3.6302123951752981E-3</v>
      </c>
      <c r="K85" s="1">
        <f>'[1]Electricity and CHPs'!G29</f>
        <v>7.6677294029311777E-4</v>
      </c>
    </row>
    <row r="86" spans="1:11" x14ac:dyDescent="0.25">
      <c r="A86" s="5" t="str">
        <f t="shared" si="37"/>
        <v>STEM</v>
      </c>
      <c r="B86" s="5" t="str">
        <f t="shared" si="12"/>
        <v>SPS4</v>
      </c>
      <c r="C86" s="5" t="str">
        <f t="shared" si="38"/>
        <v>CH</v>
      </c>
      <c r="D86" t="s">
        <v>41</v>
      </c>
      <c r="E86" t="str">
        <f>E164</f>
        <v>PJ/yr.</v>
      </c>
      <c r="F86" s="1">
        <f>'[1]Electricity and CHPs'!B39</f>
        <v>0.66996410176003762</v>
      </c>
      <c r="G86" s="1">
        <f>'[1]Electricity and CHPs'!C39</f>
        <v>9.1571773408390011E-2</v>
      </c>
      <c r="H86" s="1">
        <f>'[1]Electricity and CHPs'!D39</f>
        <v>5.8274262397919815E-2</v>
      </c>
      <c r="I86" s="1">
        <f>'[1]Electricity and CHPs'!E39</f>
        <v>0.31691070848397807</v>
      </c>
      <c r="J86" s="1">
        <f>'[1]Electricity and CHPs'!F39</f>
        <v>5.1727535914555735E-2</v>
      </c>
      <c r="K86" s="1">
        <f>'[1]Electricity and CHPs'!G39</f>
        <v>1.4293778279159095E-2</v>
      </c>
    </row>
    <row r="87" spans="1:11" x14ac:dyDescent="0.25">
      <c r="A87" s="5" t="str">
        <f t="shared" si="37"/>
        <v>STEM</v>
      </c>
      <c r="B87" s="5" t="str">
        <f t="shared" si="12"/>
        <v>SPS4</v>
      </c>
      <c r="C87" s="5" t="str">
        <f t="shared" si="38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 x14ac:dyDescent="0.25">
      <c r="A88" s="5" t="str">
        <f t="shared" si="37"/>
        <v>STEM</v>
      </c>
      <c r="B88" s="5" t="str">
        <f t="shared" si="37"/>
        <v>SPS4</v>
      </c>
      <c r="C88" s="5" t="str">
        <f t="shared" si="38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3.3938298852893606E-4</v>
      </c>
      <c r="J88" s="1">
        <f>'[1]Electricity and CHPs'!F47</f>
        <v>1.8622396264710546E-3</v>
      </c>
      <c r="K88" s="1">
        <f>'[1]Electricity and CHPs'!G47</f>
        <v>1.4362537655997539E-3</v>
      </c>
    </row>
    <row r="89" spans="1:11" x14ac:dyDescent="0.25">
      <c r="A89" s="5" t="str">
        <f t="shared" si="37"/>
        <v>STEM</v>
      </c>
      <c r="B89" s="5" t="str">
        <f t="shared" si="37"/>
        <v>SPS4</v>
      </c>
      <c r="C89" s="5" t="str">
        <f t="shared" si="38"/>
        <v>CH</v>
      </c>
      <c r="D89" t="s">
        <v>44</v>
      </c>
      <c r="E89" t="str">
        <f>E88</f>
        <v>PJ/yr.</v>
      </c>
      <c r="F89" s="1">
        <f>'[1]Electricity and CHPs'!B48</f>
        <v>1.332653381332238E-2</v>
      </c>
      <c r="G89" s="1">
        <f>'[1]Electricity and CHPs'!C48</f>
        <v>2.2250823603013228E-3</v>
      </c>
      <c r="H89" s="1">
        <f>'[1]Electricity and CHPs'!D48</f>
        <v>2.4312711629433134E-3</v>
      </c>
      <c r="I89" s="1">
        <f>'[1]Electricity and CHPs'!E48</f>
        <v>6.6516968097517365E-3</v>
      </c>
      <c r="J89" s="1">
        <f>'[1]Electricity and CHPs'!F48</f>
        <v>2.8512217576335255E-3</v>
      </c>
      <c r="K89" s="1">
        <f>'[1]Electricity and CHPs'!G48</f>
        <v>1.2461920573257424E-3</v>
      </c>
    </row>
    <row r="90" spans="1:11" x14ac:dyDescent="0.25">
      <c r="A90" s="5" t="str">
        <f t="shared" si="37"/>
        <v>STEM</v>
      </c>
      <c r="B90" s="5" t="str">
        <f t="shared" si="37"/>
        <v>SPS4</v>
      </c>
      <c r="C90" s="5" t="str">
        <f t="shared" si="38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1.0663527594366814E-4</v>
      </c>
      <c r="J90" s="1">
        <f>'[1]Electricity and CHPs'!F49</f>
        <v>3.540974319738008E-4</v>
      </c>
      <c r="K90" s="1">
        <f>'[1]Electricity and CHPs'!G49</f>
        <v>2.9109842489078667E-4</v>
      </c>
    </row>
    <row r="91" spans="1:11" x14ac:dyDescent="0.25">
      <c r="A91" s="5" t="str">
        <f t="shared" si="37"/>
        <v>STEM</v>
      </c>
      <c r="B91" s="5" t="str">
        <f t="shared" si="37"/>
        <v>SPS4</v>
      </c>
      <c r="C91" s="5" t="str">
        <f t="shared" si="38"/>
        <v>CH</v>
      </c>
      <c r="D91" t="s">
        <v>46</v>
      </c>
      <c r="E91" t="str">
        <f>E154</f>
        <v>PJ/yr.</v>
      </c>
      <c r="F91" s="1">
        <f>'[1]Electricity and CHPs'!B51</f>
        <v>2.7692040309013132E-2</v>
      </c>
      <c r="G91" s="1">
        <f>'[1]Electricity and CHPs'!C51</f>
        <v>1.8247349076204319E-3</v>
      </c>
      <c r="H91" s="1">
        <f>'[1]Electricity and CHPs'!D51</f>
        <v>1.9193081265860888E-3</v>
      </c>
      <c r="I91" s="1">
        <f>'[1]Electricity and CHPs'!E51</f>
        <v>0.22142539806947928</v>
      </c>
      <c r="J91" s="1">
        <f>'[1]Electricity and CHPs'!F51</f>
        <v>3.6469920042452624</v>
      </c>
      <c r="K91" s="1">
        <f>'[1]Electricity and CHPs'!G51</f>
        <v>3.2935826448584162</v>
      </c>
    </row>
    <row r="92" spans="1:11" x14ac:dyDescent="0.25">
      <c r="A92" s="5" t="str">
        <f t="shared" si="37"/>
        <v>STEM</v>
      </c>
      <c r="B92" s="5" t="str">
        <f t="shared" si="37"/>
        <v>SPS4</v>
      </c>
      <c r="C92" s="5" t="str">
        <f t="shared" si="38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4.4377836605841072E-4</v>
      </c>
      <c r="J92" s="1">
        <f>'[1]Electricity and CHPs'!F52</f>
        <v>3.6074397949500958E-3</v>
      </c>
      <c r="K92" s="1">
        <f>'[1]Electricity and CHPs'!G52</f>
        <v>3.0943181655309262E-3</v>
      </c>
    </row>
    <row r="93" spans="1:11" x14ac:dyDescent="0.25">
      <c r="A93" s="5" t="str">
        <f t="shared" si="37"/>
        <v>STEM</v>
      </c>
      <c r="B93" s="5" t="str">
        <f t="shared" si="37"/>
        <v>SPS4</v>
      </c>
      <c r="C93" s="5" t="str">
        <f t="shared" si="38"/>
        <v>CH</v>
      </c>
      <c r="D93" t="s">
        <v>84</v>
      </c>
      <c r="E93" t="str">
        <f>E155</f>
        <v>PJ/yr.</v>
      </c>
      <c r="F93" s="1">
        <f>'[1]Electricity and CHPs'!B54</f>
        <v>0.95936563923522378</v>
      </c>
      <c r="G93" s="1">
        <f>'[1]Electricity and CHPs'!C54</f>
        <v>1.1059498725719994</v>
      </c>
      <c r="H93" s="1">
        <f>'[1]Electricity and CHPs'!D54</f>
        <v>1.1059497955148845</v>
      </c>
      <c r="I93" s="1">
        <f>'[1]Electricity and CHPs'!E54</f>
        <v>1.1059496703680625</v>
      </c>
      <c r="J93" s="1">
        <f>'[1]Electricity and CHPs'!F54</f>
        <v>1.1059520457967755</v>
      </c>
      <c r="K93" s="1">
        <f>'[1]Electricity and CHPs'!G54</f>
        <v>1.105950779116402</v>
      </c>
    </row>
    <row r="94" spans="1:11" x14ac:dyDescent="0.25">
      <c r="A94" s="5" t="str">
        <f t="shared" si="37"/>
        <v>STEM</v>
      </c>
      <c r="B94" s="5" t="str">
        <f t="shared" si="37"/>
        <v>SPS4</v>
      </c>
      <c r="C94" s="5" t="str">
        <f t="shared" si="38"/>
        <v>CH</v>
      </c>
      <c r="D94" t="s">
        <v>85</v>
      </c>
      <c r="E94" t="str">
        <f>E93</f>
        <v>PJ/yr.</v>
      </c>
      <c r="F94" s="1">
        <f>'[1]Electricity and CHPs'!B55</f>
        <v>0.59440001316523805</v>
      </c>
      <c r="G94" s="1">
        <f>'[1]Electricity and CHPs'!C55</f>
        <v>0.62587810754818929</v>
      </c>
      <c r="H94" s="1">
        <f>'[1]Electricity and CHPs'!D55</f>
        <v>1.0789271694399341E-2</v>
      </c>
      <c r="I94" s="1">
        <f>'[1]Electricity and CHPs'!E55</f>
        <v>1.079788758465668E-2</v>
      </c>
      <c r="J94" s="1">
        <f>'[1]Electricity and CHPs'!F55</f>
        <v>2.559142333100543E-2</v>
      </c>
      <c r="K94" s="1">
        <f>'[1]Electricity and CHPs'!G55</f>
        <v>3.5790717973329062E-4</v>
      </c>
    </row>
    <row r="95" spans="1:11" x14ac:dyDescent="0.25">
      <c r="A95" s="5" t="str">
        <f t="shared" si="37"/>
        <v>STEM</v>
      </c>
      <c r="B95" s="5" t="str">
        <f t="shared" si="37"/>
        <v>SPS4</v>
      </c>
      <c r="C95" s="5" t="str">
        <f t="shared" si="38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1.7274033920798801E-4</v>
      </c>
      <c r="J95" s="1">
        <f>'[1]Electricity and CHPs'!F58</f>
        <v>6.7472871826918766E-3</v>
      </c>
      <c r="K95" s="1">
        <f>'[1]Electricity and CHPs'!G58</f>
        <v>6.6822764889817709E-3</v>
      </c>
    </row>
    <row r="96" spans="1:11" x14ac:dyDescent="0.25">
      <c r="A96" s="5" t="str">
        <f t="shared" ref="A96:B111" si="53">A95</f>
        <v>STEM</v>
      </c>
      <c r="B96" s="5" t="str">
        <f t="shared" si="53"/>
        <v>SPS4</v>
      </c>
      <c r="C96" s="5" t="str">
        <f t="shared" ref="C96:C111" si="54">C95</f>
        <v>CH</v>
      </c>
      <c r="D96" t="s">
        <v>798</v>
      </c>
      <c r="E96" t="str">
        <f t="shared" ref="E96:E106" si="55">E171</f>
        <v>PJ/yr.</v>
      </c>
      <c r="F96" s="1">
        <f>F80-F112</f>
        <v>2.2127244846971568</v>
      </c>
      <c r="G96" s="1">
        <f t="shared" ref="G96:K96" si="56">G80-G112</f>
        <v>0.70027754135074494</v>
      </c>
      <c r="H96" s="1">
        <f t="shared" si="56"/>
        <v>7.3296438869026037E-2</v>
      </c>
      <c r="I96" s="1">
        <f t="shared" si="56"/>
        <v>0.54407048053615115</v>
      </c>
      <c r="J96" s="1">
        <f t="shared" si="56"/>
        <v>3.8097508343924225</v>
      </c>
      <c r="K96" s="1">
        <f t="shared" si="56"/>
        <v>3.3156046636281085</v>
      </c>
    </row>
    <row r="97" spans="1:11" x14ac:dyDescent="0.25">
      <c r="A97" s="5" t="str">
        <f t="shared" si="53"/>
        <v>STEM</v>
      </c>
      <c r="B97" s="5" t="str">
        <f t="shared" si="53"/>
        <v>SPS4</v>
      </c>
      <c r="C97" s="5" t="str">
        <f t="shared" si="54"/>
        <v>CH</v>
      </c>
      <c r="D97" t="s">
        <v>552</v>
      </c>
      <c r="E97" t="str">
        <f t="shared" si="55"/>
        <v>PJ/yr.</v>
      </c>
      <c r="F97" s="1">
        <f t="shared" ref="F97:K97" si="57">F81-F113</f>
        <v>0</v>
      </c>
      <c r="G97" s="1">
        <f t="shared" si="57"/>
        <v>0</v>
      </c>
      <c r="H97" s="1">
        <f t="shared" si="57"/>
        <v>0</v>
      </c>
      <c r="I97" s="1">
        <f t="shared" si="57"/>
        <v>0</v>
      </c>
      <c r="J97" s="1">
        <f t="shared" si="57"/>
        <v>1.3431152151031188E-2</v>
      </c>
      <c r="K97" s="1">
        <f t="shared" si="57"/>
        <v>2.2977186125480225E-3</v>
      </c>
    </row>
    <row r="98" spans="1:11" x14ac:dyDescent="0.25">
      <c r="A98" s="5" t="str">
        <f t="shared" si="53"/>
        <v>STEM</v>
      </c>
      <c r="B98" s="5" t="str">
        <f t="shared" si="53"/>
        <v>SPS4</v>
      </c>
      <c r="C98" s="5" t="str">
        <f t="shared" si="54"/>
        <v>CH</v>
      </c>
      <c r="D98" t="s">
        <v>553</v>
      </c>
      <c r="E98" t="str">
        <f t="shared" si="55"/>
        <v>PJ/yr.</v>
      </c>
      <c r="F98" s="1">
        <f t="shared" ref="F98:K98" si="58">F82-F114</f>
        <v>0</v>
      </c>
      <c r="G98" s="1">
        <f t="shared" si="58"/>
        <v>4.1992794335679861E-4</v>
      </c>
      <c r="H98" s="1">
        <f t="shared" si="58"/>
        <v>1.5160390963946981E-3</v>
      </c>
      <c r="I98" s="1">
        <f t="shared" si="58"/>
        <v>1.4332174791445991E-3</v>
      </c>
      <c r="J98" s="1">
        <f t="shared" si="58"/>
        <v>6.3891160033148126E-2</v>
      </c>
      <c r="K98" s="1">
        <f t="shared" si="58"/>
        <v>6.8078823342166174E-3</v>
      </c>
    </row>
    <row r="99" spans="1:11" x14ac:dyDescent="0.25">
      <c r="A99" s="5" t="str">
        <f t="shared" si="53"/>
        <v>STEM</v>
      </c>
      <c r="B99" s="5" t="str">
        <f t="shared" si="53"/>
        <v>SPS4</v>
      </c>
      <c r="C99" s="5" t="str">
        <f t="shared" si="54"/>
        <v>CH</v>
      </c>
      <c r="D99" t="s">
        <v>554</v>
      </c>
      <c r="E99" t="str">
        <f t="shared" si="55"/>
        <v>PJ/yr.</v>
      </c>
      <c r="F99" s="1">
        <f t="shared" ref="F99:K99" si="59">F83-F115</f>
        <v>0</v>
      </c>
      <c r="G99" s="1">
        <f t="shared" si="59"/>
        <v>0</v>
      </c>
      <c r="H99" s="1">
        <f t="shared" si="59"/>
        <v>0</v>
      </c>
      <c r="I99" s="1">
        <f t="shared" si="59"/>
        <v>0</v>
      </c>
      <c r="J99" s="1">
        <f t="shared" si="59"/>
        <v>0</v>
      </c>
      <c r="K99" s="1">
        <f t="shared" si="59"/>
        <v>0</v>
      </c>
    </row>
    <row r="100" spans="1:11" x14ac:dyDescent="0.25">
      <c r="A100" s="5" t="str">
        <f t="shared" si="53"/>
        <v>STEM</v>
      </c>
      <c r="B100" s="5" t="str">
        <f t="shared" si="53"/>
        <v>SPS4</v>
      </c>
      <c r="C100" s="5" t="str">
        <f t="shared" si="54"/>
        <v>CH</v>
      </c>
      <c r="D100" t="s">
        <v>555</v>
      </c>
      <c r="E100" t="str">
        <f t="shared" si="55"/>
        <v>PJ/yr.</v>
      </c>
      <c r="F100" s="1">
        <f t="shared" ref="F100:K100" si="60">F84-F116</f>
        <v>0.9409862407523325</v>
      </c>
      <c r="G100" s="1">
        <f t="shared" si="60"/>
        <v>4.5644352428805829E-4</v>
      </c>
      <c r="H100" s="1">
        <f t="shared" si="60"/>
        <v>7.8366037038868634E-4</v>
      </c>
      <c r="I100" s="1">
        <f t="shared" si="60"/>
        <v>2.3461462444024708E-3</v>
      </c>
      <c r="J100" s="1">
        <f t="shared" si="60"/>
        <v>2.1238090257904383E-3</v>
      </c>
      <c r="K100" s="1">
        <f t="shared" si="60"/>
        <v>2.1040580749576358E-4</v>
      </c>
    </row>
    <row r="101" spans="1:11" x14ac:dyDescent="0.25">
      <c r="A101" s="5" t="str">
        <f t="shared" si="53"/>
        <v>STEM</v>
      </c>
      <c r="B101" s="5" t="str">
        <f t="shared" si="53"/>
        <v>SPS4</v>
      </c>
      <c r="C101" s="5" t="str">
        <f t="shared" si="54"/>
        <v>CH</v>
      </c>
      <c r="D101" t="s">
        <v>556</v>
      </c>
      <c r="E101" t="str">
        <f t="shared" si="55"/>
        <v>PJ/yr.</v>
      </c>
      <c r="F101" s="1">
        <f t="shared" ref="F101:K101" si="61">F85-F117</f>
        <v>0</v>
      </c>
      <c r="G101" s="1">
        <f t="shared" si="61"/>
        <v>0</v>
      </c>
      <c r="H101" s="1">
        <f t="shared" si="61"/>
        <v>0</v>
      </c>
      <c r="I101" s="1">
        <f t="shared" si="61"/>
        <v>0</v>
      </c>
      <c r="J101" s="1">
        <f t="shared" si="61"/>
        <v>3.6175483749310605E-3</v>
      </c>
      <c r="K101" s="1">
        <f t="shared" si="61"/>
        <v>7.6320365074672967E-4</v>
      </c>
    </row>
    <row r="102" spans="1:11" x14ac:dyDescent="0.25">
      <c r="A102" s="5" t="str">
        <f t="shared" si="53"/>
        <v>STEM</v>
      </c>
      <c r="B102" s="5" t="str">
        <f t="shared" si="53"/>
        <v>SPS4</v>
      </c>
      <c r="C102" s="5" t="str">
        <f t="shared" si="54"/>
        <v>CH</v>
      </c>
      <c r="D102" t="s">
        <v>557</v>
      </c>
      <c r="E102" t="str">
        <f t="shared" si="55"/>
        <v>PJ/yr.</v>
      </c>
      <c r="F102" s="1">
        <f t="shared" ref="F102:K102" si="62">F86-F118</f>
        <v>0.65269669762512528</v>
      </c>
      <c r="G102" s="1">
        <f t="shared" si="62"/>
        <v>8.8767057848678166E-2</v>
      </c>
      <c r="H102" s="1">
        <f t="shared" si="62"/>
        <v>5.6355412205331544E-2</v>
      </c>
      <c r="I102" s="1">
        <f t="shared" si="62"/>
        <v>0.30748780732766862</v>
      </c>
      <c r="J102" s="1">
        <f t="shared" si="62"/>
        <v>5.1547084059210553E-2</v>
      </c>
      <c r="K102" s="1">
        <f t="shared" si="62"/>
        <v>1.4227241458792575E-2</v>
      </c>
    </row>
    <row r="103" spans="1:11" x14ac:dyDescent="0.25">
      <c r="A103" s="5" t="str">
        <f t="shared" si="53"/>
        <v>STEM</v>
      </c>
      <c r="B103" s="5" t="str">
        <f t="shared" si="53"/>
        <v>SPS4</v>
      </c>
      <c r="C103" s="5" t="str">
        <f t="shared" si="54"/>
        <v>CH</v>
      </c>
      <c r="D103" t="s">
        <v>558</v>
      </c>
      <c r="E103" t="str">
        <f t="shared" si="55"/>
        <v>PJ/yr.</v>
      </c>
      <c r="F103" s="1">
        <f t="shared" ref="F103:K103" si="63">F87-F119</f>
        <v>0</v>
      </c>
      <c r="G103" s="1">
        <f t="shared" si="63"/>
        <v>0</v>
      </c>
      <c r="H103" s="1">
        <f t="shared" si="63"/>
        <v>0</v>
      </c>
      <c r="I103" s="1">
        <f t="shared" si="63"/>
        <v>0</v>
      </c>
      <c r="J103" s="1">
        <f t="shared" si="63"/>
        <v>0</v>
      </c>
      <c r="K103" s="1">
        <f t="shared" si="63"/>
        <v>0</v>
      </c>
    </row>
    <row r="104" spans="1:11" x14ac:dyDescent="0.25">
      <c r="A104" s="5" t="str">
        <f t="shared" si="53"/>
        <v>STEM</v>
      </c>
      <c r="B104" s="5" t="str">
        <f t="shared" si="53"/>
        <v>SPS4</v>
      </c>
      <c r="C104" s="5" t="str">
        <f t="shared" si="54"/>
        <v>CH</v>
      </c>
      <c r="D104" t="s">
        <v>559</v>
      </c>
      <c r="E104" t="str">
        <f t="shared" si="55"/>
        <v>PJ/yr.</v>
      </c>
      <c r="F104" s="1">
        <f t="shared" ref="F104:K104" si="64">F88-F120</f>
        <v>0</v>
      </c>
      <c r="G104" s="1">
        <f t="shared" si="64"/>
        <v>0</v>
      </c>
      <c r="H104" s="1">
        <f t="shared" si="64"/>
        <v>0</v>
      </c>
      <c r="I104" s="1">
        <f t="shared" si="64"/>
        <v>3.2929190523819034E-4</v>
      </c>
      <c r="J104" s="1">
        <f t="shared" si="64"/>
        <v>1.8557431910667256E-3</v>
      </c>
      <c r="K104" s="1">
        <f t="shared" si="64"/>
        <v>1.4295680764183439E-3</v>
      </c>
    </row>
    <row r="105" spans="1:11" x14ac:dyDescent="0.25">
      <c r="A105" s="5" t="str">
        <f t="shared" si="53"/>
        <v>STEM</v>
      </c>
      <c r="B105" s="5" t="str">
        <f t="shared" si="53"/>
        <v>SPS4</v>
      </c>
      <c r="C105" s="5" t="str">
        <f t="shared" si="54"/>
        <v>CH</v>
      </c>
      <c r="D105" t="s">
        <v>560</v>
      </c>
      <c r="E105" t="str">
        <f t="shared" si="55"/>
        <v>PJ/yr.</v>
      </c>
      <c r="F105" s="1">
        <f t="shared" ref="F105:K105" si="65">F89-F121</f>
        <v>1.2983060716080772E-2</v>
      </c>
      <c r="G105" s="1">
        <f t="shared" si="65"/>
        <v>2.1569311944421095E-3</v>
      </c>
      <c r="H105" s="1">
        <f t="shared" si="65"/>
        <v>2.351214462999315E-3</v>
      </c>
      <c r="I105" s="1">
        <f t="shared" si="65"/>
        <v>6.4539178143373285E-3</v>
      </c>
      <c r="J105" s="1">
        <f t="shared" si="65"/>
        <v>2.8412752514435651E-3</v>
      </c>
      <c r="K105" s="1">
        <f t="shared" si="65"/>
        <v>1.2403910958555787E-3</v>
      </c>
    </row>
    <row r="106" spans="1:11" x14ac:dyDescent="0.25">
      <c r="A106" s="5" t="str">
        <f t="shared" si="53"/>
        <v>STEM</v>
      </c>
      <c r="B106" s="5" t="str">
        <f t="shared" si="53"/>
        <v>SPS4</v>
      </c>
      <c r="C106" s="5" t="str">
        <f t="shared" si="54"/>
        <v>CH</v>
      </c>
      <c r="D106" t="s">
        <v>561</v>
      </c>
      <c r="E106" t="str">
        <f t="shared" si="55"/>
        <v>PJ/yr.</v>
      </c>
      <c r="F106" s="1">
        <f t="shared" ref="F106:K106" si="66">F90-F122</f>
        <v>0</v>
      </c>
      <c r="G106" s="1">
        <f t="shared" si="66"/>
        <v>0</v>
      </c>
      <c r="H106" s="1">
        <f t="shared" si="66"/>
        <v>0</v>
      </c>
      <c r="I106" s="1">
        <f t="shared" si="66"/>
        <v>1.0346462364921036E-4</v>
      </c>
      <c r="J106" s="1">
        <f t="shared" si="66"/>
        <v>3.5286216071173674E-4</v>
      </c>
      <c r="K106" s="1">
        <f t="shared" si="66"/>
        <v>2.897433763355579E-4</v>
      </c>
    </row>
    <row r="107" spans="1:11" x14ac:dyDescent="0.25">
      <c r="A107" s="5" t="str">
        <f t="shared" si="53"/>
        <v>STEM</v>
      </c>
      <c r="B107" s="5" t="str">
        <f t="shared" si="53"/>
        <v>SPS4</v>
      </c>
      <c r="C107" s="5" t="str">
        <f t="shared" si="54"/>
        <v>CH</v>
      </c>
      <c r="D107" t="s">
        <v>562</v>
      </c>
      <c r="E107" t="str">
        <f>E183</f>
        <v>PJ/yr.</v>
      </c>
      <c r="F107" s="1">
        <f t="shared" ref="F107:K107" si="67">F91-F123</f>
        <v>2.6978316021279161E-2</v>
      </c>
      <c r="G107" s="1">
        <f t="shared" si="67"/>
        <v>1.7688458252399057E-3</v>
      </c>
      <c r="H107" s="1">
        <f t="shared" si="67"/>
        <v>1.8561093040392175E-3</v>
      </c>
      <c r="I107" s="1">
        <f t="shared" si="67"/>
        <v>0.2148416204196601</v>
      </c>
      <c r="J107" s="1">
        <f t="shared" si="67"/>
        <v>3.6342694482224478</v>
      </c>
      <c r="K107" s="1">
        <f t="shared" si="67"/>
        <v>3.2782511829787571</v>
      </c>
    </row>
    <row r="108" spans="1:11" x14ac:dyDescent="0.25">
      <c r="A108" s="5" t="str">
        <f t="shared" si="53"/>
        <v>STEM</v>
      </c>
      <c r="B108" s="5" t="str">
        <f t="shared" si="53"/>
        <v>SPS4</v>
      </c>
      <c r="C108" s="5" t="str">
        <f t="shared" si="54"/>
        <v>CH</v>
      </c>
      <c r="D108" t="s">
        <v>563</v>
      </c>
      <c r="E108" t="str">
        <f>E185</f>
        <v>PJ/yr.</v>
      </c>
      <c r="F108" s="1">
        <f t="shared" ref="F108:K108" si="68">F92-F124</f>
        <v>0</v>
      </c>
      <c r="G108" s="1">
        <f t="shared" si="68"/>
        <v>0</v>
      </c>
      <c r="H108" s="1">
        <f t="shared" si="68"/>
        <v>0</v>
      </c>
      <c r="I108" s="1">
        <f t="shared" si="68"/>
        <v>4.3058323075143094E-4</v>
      </c>
      <c r="J108" s="1">
        <f t="shared" si="68"/>
        <v>3.5948552170742025E-3</v>
      </c>
      <c r="K108" s="1">
        <f t="shared" si="68"/>
        <v>3.0799142697998036E-3</v>
      </c>
    </row>
    <row r="109" spans="1:11" x14ac:dyDescent="0.25">
      <c r="A109" s="5" t="str">
        <f t="shared" si="53"/>
        <v>STEM</v>
      </c>
      <c r="B109" s="5" t="str">
        <f t="shared" si="53"/>
        <v>SPS4</v>
      </c>
      <c r="C109" s="5" t="str">
        <f t="shared" si="54"/>
        <v>CH</v>
      </c>
      <c r="D109" t="s">
        <v>564</v>
      </c>
      <c r="E109" t="str">
        <f>E187</f>
        <v>PJ/yr.</v>
      </c>
      <c r="F109" s="1">
        <f t="shared" ref="F109:K109" si="69">F93-F125</f>
        <v>0</v>
      </c>
      <c r="G109" s="1">
        <f t="shared" si="69"/>
        <v>0</v>
      </c>
      <c r="H109" s="1">
        <f t="shared" si="69"/>
        <v>0</v>
      </c>
      <c r="I109" s="1">
        <f t="shared" si="69"/>
        <v>0</v>
      </c>
      <c r="J109" s="1">
        <f t="shared" si="69"/>
        <v>0</v>
      </c>
      <c r="K109" s="1">
        <f t="shared" si="69"/>
        <v>0</v>
      </c>
    </row>
    <row r="110" spans="1:11" x14ac:dyDescent="0.25">
      <c r="A110" s="5" t="str">
        <f t="shared" si="53"/>
        <v>STEM</v>
      </c>
      <c r="B110" s="5" t="str">
        <f t="shared" si="53"/>
        <v>SPS4</v>
      </c>
      <c r="C110" s="5" t="str">
        <f t="shared" si="54"/>
        <v>CH</v>
      </c>
      <c r="D110" t="s">
        <v>565</v>
      </c>
      <c r="E110" t="str">
        <f>E188</f>
        <v>PJ/yr.</v>
      </c>
      <c r="F110" s="1">
        <f t="shared" ref="F110:K110" si="70">F94-F126</f>
        <v>0.57908016958233888</v>
      </c>
      <c r="G110" s="1">
        <f t="shared" si="70"/>
        <v>0.60670833501473986</v>
      </c>
      <c r="H110" s="1">
        <f t="shared" si="70"/>
        <v>1.0434003429872591E-2</v>
      </c>
      <c r="I110" s="1">
        <f t="shared" si="70"/>
        <v>1.0476827346920015E-2</v>
      </c>
      <c r="J110" s="1">
        <f t="shared" si="70"/>
        <v>2.5502147479384892E-2</v>
      </c>
      <c r="K110" s="1">
        <f t="shared" si="70"/>
        <v>3.56241139777954E-4</v>
      </c>
    </row>
    <row r="111" spans="1:11" x14ac:dyDescent="0.25">
      <c r="A111" s="5" t="str">
        <f t="shared" si="53"/>
        <v>STEM</v>
      </c>
      <c r="B111" s="5" t="str">
        <f t="shared" si="53"/>
        <v>SPS4</v>
      </c>
      <c r="C111" s="5" t="str">
        <f t="shared" si="54"/>
        <v>CH</v>
      </c>
      <c r="D111" t="s">
        <v>566</v>
      </c>
      <c r="E111" t="str">
        <f>E193</f>
        <v>PJ/yr.</v>
      </c>
      <c r="F111" s="1">
        <f t="shared" ref="F111:K111" si="71">F95-F127</f>
        <v>0</v>
      </c>
      <c r="G111" s="1">
        <f t="shared" si="71"/>
        <v>0</v>
      </c>
      <c r="H111" s="1">
        <f t="shared" si="71"/>
        <v>0</v>
      </c>
      <c r="I111" s="1">
        <f t="shared" si="71"/>
        <v>1.6760414437932218E-4</v>
      </c>
      <c r="J111" s="1">
        <f t="shared" si="71"/>
        <v>6.7237492261830898E-3</v>
      </c>
      <c r="K111" s="1">
        <f t="shared" si="71"/>
        <v>6.6511708273642913E-3</v>
      </c>
    </row>
    <row r="112" spans="1:11" x14ac:dyDescent="0.25">
      <c r="A112" s="5" t="str">
        <f>A95</f>
        <v>STEM</v>
      </c>
      <c r="B112" s="5" t="str">
        <f t="shared" ref="B112:B175" si="72">B111</f>
        <v>SPS4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1.0179043265849581</v>
      </c>
      <c r="G112" s="1">
        <f t="shared" ref="G112:K112" si="73">SUM(G113:G127)</f>
        <v>1.128076091058269</v>
      </c>
      <c r="H112" s="1">
        <f t="shared" si="73"/>
        <v>1.1084454721559749</v>
      </c>
      <c r="I112" s="1">
        <f t="shared" si="73"/>
        <v>1.1226225993037282</v>
      </c>
      <c r="J112" s="1">
        <f t="shared" si="73"/>
        <v>1.1192889128381638</v>
      </c>
      <c r="K112" s="1">
        <f t="shared" si="73"/>
        <v>1.1214569327547717</v>
      </c>
    </row>
    <row r="113" spans="1:11" x14ac:dyDescent="0.25">
      <c r="A113" s="5" t="str">
        <f t="shared" si="37"/>
        <v>STEM</v>
      </c>
      <c r="B113" s="5" t="str">
        <f t="shared" si="72"/>
        <v>SPS4</v>
      </c>
      <c r="C113" s="5" t="str">
        <f t="shared" si="38"/>
        <v>CH</v>
      </c>
      <c r="D113" t="s">
        <v>613</v>
      </c>
      <c r="E113" t="str">
        <f t="shared" ref="E113:E128" si="74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4.7018689210295595E-5</v>
      </c>
      <c r="K113" s="1">
        <f>'[1]Electricity and CHPs_IN'!Q$23/SUM('[1]Electricity and CHPs_IN'!Q$22:Q$23)*K81</f>
        <v>1.0745785893823666E-5</v>
      </c>
    </row>
    <row r="114" spans="1:11" x14ac:dyDescent="0.25">
      <c r="A114" s="5" t="str">
        <f t="shared" si="37"/>
        <v>STEM</v>
      </c>
      <c r="B114" s="5" t="str">
        <f t="shared" si="72"/>
        <v>SPS4</v>
      </c>
      <c r="C114" s="5" t="str">
        <f t="shared" si="38"/>
        <v>CH</v>
      </c>
      <c r="D114" t="s">
        <v>614</v>
      </c>
      <c r="E114" t="str">
        <f t="shared" si="74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1.3268192787220413E-5</v>
      </c>
      <c r="H114" s="1">
        <f>'[1]Electricity and CHPs_IN'!N$23/SUM('[1]Electricity and CHPs_IN'!N$22:N$23)*H82</f>
        <v>5.1619743308578007E-5</v>
      </c>
      <c r="I114" s="1">
        <f>'[1]Electricity and CHPs_IN'!O$23/SUM('[1]Electricity and CHPs_IN'!O$22:O$23)*I82</f>
        <v>4.3920657403768616E-5</v>
      </c>
      <c r="J114" s="1">
        <f>'[1]Electricity and CHPs_IN'!P$23/SUM('[1]Electricity and CHPs_IN'!P$22:P$23)*J82</f>
        <v>2.2366499635351165E-4</v>
      </c>
      <c r="K114" s="1">
        <f>'[1]Electricity and CHPs_IN'!Q$23/SUM('[1]Electricity and CHPs_IN'!Q$22:Q$23)*K82</f>
        <v>3.1838557408346404E-5</v>
      </c>
    </row>
    <row r="115" spans="1:11" x14ac:dyDescent="0.25">
      <c r="A115" s="5" t="str">
        <f t="shared" si="37"/>
        <v>STEM</v>
      </c>
      <c r="B115" s="5" t="str">
        <f t="shared" si="72"/>
        <v>SPS4</v>
      </c>
      <c r="C115" s="5" t="str">
        <f t="shared" si="38"/>
        <v>CH</v>
      </c>
      <c r="D115" t="s">
        <v>615</v>
      </c>
      <c r="E115" t="str">
        <f t="shared" si="74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25">
      <c r="A116" s="5" t="str">
        <f t="shared" si="37"/>
        <v>STEM</v>
      </c>
      <c r="B116" s="5" t="str">
        <f t="shared" si="72"/>
        <v>SPS4</v>
      </c>
      <c r="C116" s="5" t="str">
        <f t="shared" si="38"/>
        <v>CH</v>
      </c>
      <c r="D116" t="s">
        <v>616</v>
      </c>
      <c r="E116" t="str">
        <f t="shared" si="74"/>
        <v>PJ/yr.</v>
      </c>
      <c r="F116" s="1">
        <f>'[1]Electricity and CHPs_IN'!L$23/SUM('[1]Electricity and CHPs_IN'!L$22:L$23)*F84</f>
        <v>2.4894242246947338E-2</v>
      </c>
      <c r="G116" s="1">
        <f>'[1]Electricity and CHPs_IN'!M$23/SUM('[1]Electricity and CHPs_IN'!M$22:M$23)*G84</f>
        <v>1.4421952081399231E-5</v>
      </c>
      <c r="H116" s="1">
        <f>'[1]Electricity and CHPs_IN'!N$23/SUM('[1]Electricity and CHPs_IN'!N$22:N$23)*H84</f>
        <v>2.6682918175902676E-5</v>
      </c>
      <c r="I116" s="1">
        <f>'[1]Electricity and CHPs_IN'!O$23/SUM('[1]Electricity and CHPs_IN'!O$22:O$23)*I84</f>
        <v>7.189717326154871E-5</v>
      </c>
      <c r="J116" s="1">
        <f>'[1]Electricity and CHPs_IN'!P$23/SUM('[1]Electricity and CHPs_IN'!P$22:P$23)*J84</f>
        <v>7.4348585588760934E-6</v>
      </c>
      <c r="K116" s="1">
        <f>'[1]Electricity and CHPs_IN'!Q$23/SUM('[1]Electricity and CHPs_IN'!Q$22:Q$23)*K84</f>
        <v>9.8400898431130219E-7</v>
      </c>
    </row>
    <row r="117" spans="1:11" x14ac:dyDescent="0.25">
      <c r="A117" s="5" t="str">
        <f t="shared" si="37"/>
        <v>STEM</v>
      </c>
      <c r="B117" s="5" t="str">
        <f t="shared" si="72"/>
        <v>SPS4</v>
      </c>
      <c r="C117" s="5" t="str">
        <f t="shared" si="38"/>
        <v>CH</v>
      </c>
      <c r="D117" t="s">
        <v>617</v>
      </c>
      <c r="E117" t="str">
        <f t="shared" si="74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1.266402024423753E-5</v>
      </c>
      <c r="K117" s="1">
        <f>'[1]Electricity and CHPs_IN'!Q$23/SUM('[1]Electricity and CHPs_IN'!Q$22:Q$23)*K85</f>
        <v>3.5692895463880591E-6</v>
      </c>
    </row>
    <row r="118" spans="1:11" x14ac:dyDescent="0.25">
      <c r="A118" s="5" t="str">
        <f t="shared" si="37"/>
        <v>STEM</v>
      </c>
      <c r="B118" s="5" t="str">
        <f t="shared" si="72"/>
        <v>SPS4</v>
      </c>
      <c r="C118" s="5" t="str">
        <f t="shared" si="38"/>
        <v>CH</v>
      </c>
      <c r="D118" t="s">
        <v>618</v>
      </c>
      <c r="E118" t="str">
        <f t="shared" si="74"/>
        <v>PJ/yr.</v>
      </c>
      <c r="F118" s="1">
        <f>'[1]Electricity and CHPs_IN'!L$23/SUM('[1]Electricity and CHPs_IN'!L$22:L$23)*F86</f>
        <v>1.7267404134912297E-2</v>
      </c>
      <c r="G118" s="1">
        <f>'[1]Electricity and CHPs_IN'!M$23/SUM('[1]Electricity and CHPs_IN'!M$22:M$23)*G86</f>
        <v>2.8047155597118482E-3</v>
      </c>
      <c r="H118" s="1">
        <f>'[1]Electricity and CHPs_IN'!N$23/SUM('[1]Electricity and CHPs_IN'!N$22:N$23)*H86</f>
        <v>1.9188501925882734E-3</v>
      </c>
      <c r="I118" s="1">
        <f>'[1]Electricity and CHPs_IN'!O$23/SUM('[1]Electricity and CHPs_IN'!O$22:O$23)*I86</f>
        <v>9.422901156309442E-3</v>
      </c>
      <c r="J118" s="1">
        <f>'[1]Electricity and CHPs_IN'!P$23/SUM('[1]Electricity and CHPs_IN'!P$22:P$23)*J86</f>
        <v>1.8045185534518149E-4</v>
      </c>
      <c r="K118" s="1">
        <f>'[1]Electricity and CHPs_IN'!Q$23/SUM('[1]Electricity and CHPs_IN'!Q$22:Q$23)*K86</f>
        <v>6.6536820366519631E-5</v>
      </c>
    </row>
    <row r="119" spans="1:11" x14ac:dyDescent="0.25">
      <c r="A119" s="5" t="str">
        <f t="shared" si="37"/>
        <v>STEM</v>
      </c>
      <c r="B119" s="5" t="str">
        <f t="shared" si="72"/>
        <v>SPS4</v>
      </c>
      <c r="C119" s="5" t="str">
        <f t="shared" si="38"/>
        <v>CH</v>
      </c>
      <c r="D119" t="s">
        <v>619</v>
      </c>
      <c r="E119" t="str">
        <f t="shared" si="74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 x14ac:dyDescent="0.25">
      <c r="A120" s="5" t="str">
        <f t="shared" si="37"/>
        <v>STEM</v>
      </c>
      <c r="B120" s="5" t="str">
        <f t="shared" si="72"/>
        <v>SPS4</v>
      </c>
      <c r="C120" s="5" t="str">
        <f t="shared" si="38"/>
        <v>CH</v>
      </c>
      <c r="D120" t="s">
        <v>620</v>
      </c>
      <c r="E120" t="str">
        <f t="shared" si="74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1.009108329074574E-5</v>
      </c>
      <c r="J120" s="1">
        <f>'[1]Electricity and CHPs_IN'!P$23/SUM('[1]Electricity and CHPs_IN'!P$22:P$23)*J88</f>
        <v>6.4964354043289963E-6</v>
      </c>
      <c r="K120" s="1">
        <f>'[1]Electricity and CHPs_IN'!Q$23/SUM('[1]Electricity and CHPs_IN'!Q$22:Q$23)*K88</f>
        <v>6.6856891814100705E-6</v>
      </c>
    </row>
    <row r="121" spans="1:11" x14ac:dyDescent="0.25">
      <c r="A121" s="5" t="str">
        <f t="shared" si="37"/>
        <v>STEM</v>
      </c>
      <c r="B121" s="5" t="str">
        <f t="shared" si="72"/>
        <v>SPS4</v>
      </c>
      <c r="C121" s="5" t="str">
        <f t="shared" si="38"/>
        <v>CH</v>
      </c>
      <c r="D121" t="s">
        <v>621</v>
      </c>
      <c r="E121" t="str">
        <f t="shared" si="74"/>
        <v>PJ/yr.</v>
      </c>
      <c r="F121" s="1">
        <f>'[1]Electricity and CHPs_IN'!L$23/SUM('[1]Electricity and CHPs_IN'!L$22:L$23)*F89</f>
        <v>3.4347309724160719E-4</v>
      </c>
      <c r="G121" s="1">
        <f>'[1]Electricity and CHPs_IN'!M$23/SUM('[1]Electricity and CHPs_IN'!M$22:M$23)*G89</f>
        <v>6.8151165859213291E-5</v>
      </c>
      <c r="H121" s="1">
        <f>'[1]Electricity and CHPs_IN'!N$23/SUM('[1]Electricity and CHPs_IN'!N$22:N$23)*H89</f>
        <v>8.0056699943998344E-5</v>
      </c>
      <c r="I121" s="1">
        <f>'[1]Electricity and CHPs_IN'!O$23/SUM('[1]Electricity and CHPs_IN'!O$22:O$23)*I89</f>
        <v>1.9777899541440793E-4</v>
      </c>
      <c r="J121" s="1">
        <f>'[1]Electricity and CHPs_IN'!P$23/SUM('[1]Electricity and CHPs_IN'!P$22:P$23)*J89</f>
        <v>9.9465061899602371E-6</v>
      </c>
      <c r="K121" s="1">
        <f>'[1]Electricity and CHPs_IN'!Q$23/SUM('[1]Electricity and CHPs_IN'!Q$22:Q$23)*K89</f>
        <v>5.8009614701638223E-6</v>
      </c>
    </row>
    <row r="122" spans="1:11" x14ac:dyDescent="0.25">
      <c r="A122" s="5" t="str">
        <f t="shared" si="37"/>
        <v>STEM</v>
      </c>
      <c r="B122" s="5" t="str">
        <f t="shared" si="72"/>
        <v>SPS4</v>
      </c>
      <c r="C122" s="5" t="str">
        <f t="shared" si="38"/>
        <v>CH</v>
      </c>
      <c r="D122" t="s">
        <v>622</v>
      </c>
      <c r="E122" t="str">
        <f t="shared" si="74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3.170652294457784E-6</v>
      </c>
      <c r="J122" s="1">
        <f>'[1]Electricity and CHPs_IN'!P$23/SUM('[1]Electricity and CHPs_IN'!P$22:P$23)*J90</f>
        <v>1.2352712620640463E-6</v>
      </c>
      <c r="K122" s="1">
        <f>'[1]Electricity and CHPs_IN'!Q$23/SUM('[1]Electricity and CHPs_IN'!Q$22:Q$23)*K90</f>
        <v>1.3550485552287821E-6</v>
      </c>
    </row>
    <row r="123" spans="1:11" x14ac:dyDescent="0.25">
      <c r="A123" s="5" t="str">
        <f t="shared" si="37"/>
        <v>STEM</v>
      </c>
      <c r="B123" s="5" t="str">
        <f t="shared" si="72"/>
        <v>SPS4</v>
      </c>
      <c r="C123" s="5" t="str">
        <f t="shared" si="38"/>
        <v>CH</v>
      </c>
      <c r="D123" t="s">
        <v>623</v>
      </c>
      <c r="E123" t="str">
        <f t="shared" si="74"/>
        <v>PJ/yr.</v>
      </c>
      <c r="F123" s="1">
        <f>'[1]Electricity and CHPs_IN'!L$23/SUM('[1]Electricity and CHPs_IN'!L$22:L$23)*F91</f>
        <v>7.1372428773396935E-4</v>
      </c>
      <c r="G123" s="1">
        <f>'[1]Electricity and CHPs_IN'!M$23/SUM('[1]Electricity and CHPs_IN'!M$22:M$23)*G91</f>
        <v>5.5889082380526195E-5</v>
      </c>
      <c r="H123" s="1">
        <f>'[1]Electricity and CHPs_IN'!N$23/SUM('[1]Electricity and CHPs_IN'!N$22:N$23)*H91</f>
        <v>6.3198822546871395E-5</v>
      </c>
      <c r="I123" s="1">
        <f>'[1]Electricity and CHPs_IN'!O$23/SUM('[1]Electricity and CHPs_IN'!O$22:O$23)*I91</f>
        <v>6.5837776498191749E-3</v>
      </c>
      <c r="J123" s="1">
        <f>'[1]Electricity and CHPs_IN'!P$23/SUM('[1]Electricity and CHPs_IN'!P$22:P$23)*J91</f>
        <v>1.2722556022814795E-2</v>
      </c>
      <c r="K123" s="1">
        <f>'[1]Electricity and CHPs_IN'!Q$23/SUM('[1]Electricity and CHPs_IN'!Q$22:Q$23)*K91</f>
        <v>1.533146187965939E-2</v>
      </c>
    </row>
    <row r="124" spans="1:11" x14ac:dyDescent="0.25">
      <c r="A124" s="5" t="str">
        <f t="shared" si="37"/>
        <v>STEM</v>
      </c>
      <c r="B124" s="5" t="str">
        <f t="shared" si="72"/>
        <v>SPS4</v>
      </c>
      <c r="C124" s="5" t="str">
        <f t="shared" si="38"/>
        <v>CH</v>
      </c>
      <c r="D124" t="s">
        <v>624</v>
      </c>
      <c r="E124" t="str">
        <f t="shared" si="74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1.3195135306979772E-5</v>
      </c>
      <c r="J124" s="1">
        <f>'[1]Electricity and CHPs_IN'!P$23/SUM('[1]Electricity and CHPs_IN'!P$22:P$23)*J92</f>
        <v>1.2584577875893139E-5</v>
      </c>
      <c r="K124" s="1">
        <f>'[1]Electricity and CHPs_IN'!Q$23/SUM('[1]Electricity and CHPs_IN'!Q$22:Q$23)*K92</f>
        <v>1.4403895731122401E-5</v>
      </c>
    </row>
    <row r="125" spans="1:11" x14ac:dyDescent="0.25">
      <c r="A125" s="5" t="str">
        <f t="shared" si="37"/>
        <v>STEM</v>
      </c>
      <c r="B125" s="5" t="str">
        <f t="shared" si="72"/>
        <v>SPS4</v>
      </c>
      <c r="C125" s="5" t="str">
        <f t="shared" si="38"/>
        <v>CH</v>
      </c>
      <c r="D125" t="s">
        <v>625</v>
      </c>
      <c r="E125" t="str">
        <f t="shared" si="74"/>
        <v>PJ/yr.</v>
      </c>
      <c r="F125" s="1">
        <f t="shared" ref="F125:K125" si="75">F93</f>
        <v>0.95936563923522378</v>
      </c>
      <c r="G125" s="1">
        <f t="shared" si="75"/>
        <v>1.1059498725719994</v>
      </c>
      <c r="H125" s="1">
        <f t="shared" si="75"/>
        <v>1.1059497955148845</v>
      </c>
      <c r="I125" s="1">
        <f t="shared" si="75"/>
        <v>1.1059496703680625</v>
      </c>
      <c r="J125" s="1">
        <f t="shared" si="75"/>
        <v>1.1059520457967755</v>
      </c>
      <c r="K125" s="1">
        <f t="shared" si="75"/>
        <v>1.105950779116402</v>
      </c>
    </row>
    <row r="126" spans="1:11" x14ac:dyDescent="0.25">
      <c r="A126" s="5" t="str">
        <f t="shared" si="37"/>
        <v>STEM</v>
      </c>
      <c r="B126" s="5" t="str">
        <f t="shared" si="72"/>
        <v>SPS4</v>
      </c>
      <c r="C126" s="5" t="str">
        <f t="shared" si="38"/>
        <v>CH</v>
      </c>
      <c r="D126" t="s">
        <v>626</v>
      </c>
      <c r="E126" t="str">
        <f t="shared" si="74"/>
        <v>PJ/yr.</v>
      </c>
      <c r="F126" s="1">
        <f>'[1]Electricity and CHPs_IN'!L$23/SUM('[1]Electricity and CHPs_IN'!L$22:L$23)*F94</f>
        <v>1.5319843582899225E-2</v>
      </c>
      <c r="G126" s="1">
        <f>'[1]Electricity and CHPs_IN'!M$23/SUM('[1]Electricity and CHPs_IN'!M$22:M$23)*G94</f>
        <v>1.9169772533449456E-2</v>
      </c>
      <c r="H126" s="1">
        <f>'[1]Electricity and CHPs_IN'!N$23/SUM('[1]Electricity and CHPs_IN'!N$22:N$23)*H94</f>
        <v>3.5526826452674941E-4</v>
      </c>
      <c r="I126" s="1">
        <f>'[1]Electricity and CHPs_IN'!O$23/SUM('[1]Electricity and CHPs_IN'!O$22:O$23)*I94</f>
        <v>3.2106023773666458E-4</v>
      </c>
      <c r="J126" s="1">
        <f>'[1]Electricity and CHPs_IN'!P$23/SUM('[1]Electricity and CHPs_IN'!P$22:P$23)*J94</f>
        <v>8.9275851620537356E-5</v>
      </c>
      <c r="K126" s="1">
        <f>'[1]Electricity and CHPs_IN'!Q$23/SUM('[1]Electricity and CHPs_IN'!Q$22:Q$23)*K94</f>
        <v>1.6660399553366092E-6</v>
      </c>
    </row>
    <row r="127" spans="1:11" x14ac:dyDescent="0.25">
      <c r="A127" s="5" t="str">
        <f t="shared" si="37"/>
        <v>STEM</v>
      </c>
      <c r="B127" s="5" t="str">
        <f t="shared" si="72"/>
        <v>SPS4</v>
      </c>
      <c r="C127" s="5" t="str">
        <f t="shared" si="38"/>
        <v>CH</v>
      </c>
      <c r="D127" t="s">
        <v>627</v>
      </c>
      <c r="E127" t="str">
        <f t="shared" si="74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5.1361948286658394E-6</v>
      </c>
      <c r="J127" s="1">
        <f>'[1]Electricity and CHPs_IN'!P$23/SUM('[1]Electricity and CHPs_IN'!P$22:P$23)*J95</f>
        <v>2.3537956508786637E-5</v>
      </c>
      <c r="K127" s="1">
        <f>'[1]Electricity and CHPs_IN'!Q$23/SUM('[1]Electricity and CHPs_IN'!Q$22:Q$23)*K95</f>
        <v>3.1105661617479242E-5</v>
      </c>
    </row>
    <row r="128" spans="1:11" x14ac:dyDescent="0.25">
      <c r="A128" s="5" t="str">
        <f t="shared" si="37"/>
        <v>STEM</v>
      </c>
      <c r="B128" s="5" t="str">
        <f t="shared" si="72"/>
        <v>SPS4</v>
      </c>
      <c r="C128" s="5" t="str">
        <f t="shared" si="38"/>
        <v>CH</v>
      </c>
      <c r="D128" t="s">
        <v>800</v>
      </c>
      <c r="E128" t="str">
        <f t="shared" si="74"/>
        <v>PJ/yr.</v>
      </c>
      <c r="F128" s="1">
        <f>SUM(F129:F134)</f>
        <v>8.2546832661067935</v>
      </c>
      <c r="G128" s="1">
        <f t="shared" ref="G128:K128" si="76">SUM(G129:G134)</f>
        <v>8.9452051074373102</v>
      </c>
      <c r="H128" s="1">
        <f t="shared" si="76"/>
        <v>9.1760194914599538</v>
      </c>
      <c r="I128" s="1">
        <f t="shared" si="76"/>
        <v>9.1336147282946971</v>
      </c>
      <c r="J128" s="1">
        <f t="shared" si="76"/>
        <v>9.3871114189818137</v>
      </c>
      <c r="K128" s="1">
        <f t="shared" si="76"/>
        <v>9.7465213943535574</v>
      </c>
    </row>
    <row r="129" spans="1:17" x14ac:dyDescent="0.25">
      <c r="A129" s="5" t="str">
        <f t="shared" si="37"/>
        <v>STEM</v>
      </c>
      <c r="B129" s="5" t="str">
        <f t="shared" si="72"/>
        <v>SPS4</v>
      </c>
      <c r="C129" s="5" t="str">
        <f t="shared" si="38"/>
        <v>CH</v>
      </c>
      <c r="D129" t="s">
        <v>53</v>
      </c>
      <c r="E129" t="str">
        <f>E73</f>
        <v>PJ/yr.</v>
      </c>
      <c r="F129" s="1">
        <f>'[1]Electricity and CHPs'!B19</f>
        <v>6.5070001123384849</v>
      </c>
      <c r="G129" s="1">
        <f>'[1]Electricity and CHPs'!C19</f>
        <v>7.3027687840943667</v>
      </c>
      <c r="H129" s="1">
        <f>'[1]Electricity and CHPs'!D19</f>
        <v>7.4118134631130301</v>
      </c>
      <c r="I129" s="1">
        <f>'[1]Electricity and CHPs'!E19</f>
        <v>7.398139031785969</v>
      </c>
      <c r="J129" s="1">
        <f>'[1]Electricity and CHPs'!F19</f>
        <v>7.6680317952603847</v>
      </c>
      <c r="K129" s="1">
        <f>'[1]Electricity and CHPs'!G19</f>
        <v>8.0332798381494221</v>
      </c>
    </row>
    <row r="130" spans="1:17" x14ac:dyDescent="0.25">
      <c r="A130" s="5" t="str">
        <f t="shared" si="37"/>
        <v>STEM</v>
      </c>
      <c r="B130" s="5" t="str">
        <f t="shared" si="72"/>
        <v>SPS4</v>
      </c>
      <c r="C130" s="5" t="str">
        <f t="shared" si="38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</v>
      </c>
      <c r="K130" s="1">
        <f>'[1]Electricity and CHPs'!G20</f>
        <v>0</v>
      </c>
    </row>
    <row r="131" spans="1:17" x14ac:dyDescent="0.25">
      <c r="A131" s="5" t="str">
        <f t="shared" si="37"/>
        <v>STEM</v>
      </c>
      <c r="B131" s="5" t="str">
        <f t="shared" si="72"/>
        <v>SPS4</v>
      </c>
      <c r="C131" s="5" t="str">
        <f t="shared" si="38"/>
        <v>CH</v>
      </c>
      <c r="D131" t="s">
        <v>51</v>
      </c>
      <c r="E131" t="str">
        <f>E150</f>
        <v>PJ/yr.</v>
      </c>
      <c r="F131" s="1">
        <f>'[1]Electricity and CHPs'!B26</f>
        <v>1.5176394527675467</v>
      </c>
      <c r="G131" s="1">
        <f>'[1]Electricity and CHPs'!C26</f>
        <v>1.4122786690364333</v>
      </c>
      <c r="H131" s="1">
        <f>'[1]Electricity and CHPs'!D26</f>
        <v>1.42749949651153</v>
      </c>
      <c r="I131" s="1">
        <f>'[1]Electricity and CHPs'!E26</f>
        <v>1.4025301798273506</v>
      </c>
      <c r="J131" s="1">
        <f>'[1]Electricity and CHPs'!F26</f>
        <v>1.3915548286601021</v>
      </c>
      <c r="K131" s="1">
        <f>'[1]Electricity and CHPs'!G26</f>
        <v>1.3890410946006766</v>
      </c>
    </row>
    <row r="132" spans="1:17" x14ac:dyDescent="0.25">
      <c r="A132" s="5" t="str">
        <f t="shared" si="37"/>
        <v>STEM</v>
      </c>
      <c r="B132" s="5" t="str">
        <f t="shared" si="72"/>
        <v>SPS4</v>
      </c>
      <c r="C132" s="5" t="str">
        <f t="shared" si="38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</v>
      </c>
      <c r="K132" s="1">
        <f>'[1]Electricity and CHPs'!G27</f>
        <v>0</v>
      </c>
    </row>
    <row r="133" spans="1:17" x14ac:dyDescent="0.25">
      <c r="A133" s="5" t="str">
        <f t="shared" si="37"/>
        <v>STEM</v>
      </c>
      <c r="B133" s="5" t="str">
        <f t="shared" si="72"/>
        <v>SPS4</v>
      </c>
      <c r="C133" s="5" t="str">
        <f t="shared" si="38"/>
        <v>CH</v>
      </c>
      <c r="D133" t="s">
        <v>48</v>
      </c>
      <c r="E133" t="str">
        <f>E153</f>
        <v>PJ/yr.</v>
      </c>
      <c r="F133" s="1">
        <f>'[1]Electricity and CHPs'!B44</f>
        <v>0.2300437010007608</v>
      </c>
      <c r="G133" s="1">
        <f>'[1]Electricity and CHPs'!C44</f>
        <v>0.2301576543065095</v>
      </c>
      <c r="H133" s="1">
        <f>'[1]Electricity and CHPs'!D44</f>
        <v>0.33670653183539301</v>
      </c>
      <c r="I133" s="1">
        <f>'[1]Electricity and CHPs'!E44</f>
        <v>0.33294551668137751</v>
      </c>
      <c r="J133" s="1">
        <f>'[1]Electricity and CHPs'!F44</f>
        <v>0.32752479506132698</v>
      </c>
      <c r="K133" s="1">
        <f>'[1]Electricity and CHPs'!G44</f>
        <v>0.32420046160345822</v>
      </c>
    </row>
    <row r="134" spans="1:17" x14ac:dyDescent="0.25">
      <c r="A134" s="5" t="str">
        <f t="shared" si="37"/>
        <v>STEM</v>
      </c>
      <c r="B134" s="5" t="str">
        <f t="shared" si="72"/>
        <v>SPS4</v>
      </c>
      <c r="C134" s="5" t="str">
        <f t="shared" si="38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</v>
      </c>
      <c r="K134" s="1">
        <f>'[1]Electricity and CHPs'!G45</f>
        <v>0</v>
      </c>
    </row>
    <row r="135" spans="1:17" x14ac:dyDescent="0.25">
      <c r="A135" s="5" t="str">
        <f t="shared" si="37"/>
        <v>STEM</v>
      </c>
      <c r="B135" s="5" t="str">
        <f t="shared" si="72"/>
        <v>SPS4</v>
      </c>
      <c r="C135" s="5" t="str">
        <f t="shared" si="38"/>
        <v>CH</v>
      </c>
      <c r="D135" t="s">
        <v>89</v>
      </c>
      <c r="E135" t="str">
        <f t="shared" ref="E135:E149" si="77">E134</f>
        <v>PJ/yr.</v>
      </c>
      <c r="F135" s="1">
        <f>SUM(F136:F139)</f>
        <v>4.0123197825530159</v>
      </c>
      <c r="G135" s="1">
        <f t="shared" ref="G135:K135" si="78">SUM(G136:G139)</f>
        <v>4.3575237265654003</v>
      </c>
      <c r="H135" s="1">
        <f t="shared" si="78"/>
        <v>4.4196564798122795</v>
      </c>
      <c r="I135" s="1">
        <f t="shared" si="78"/>
        <v>4.4003346058066599</v>
      </c>
      <c r="J135" s="1">
        <f t="shared" si="78"/>
        <v>4.5297933119602432</v>
      </c>
      <c r="K135" s="1">
        <f t="shared" si="78"/>
        <v>4.7111604663750493</v>
      </c>
      <c r="M135" s="1"/>
      <c r="N135" s="1"/>
      <c r="O135" s="1"/>
      <c r="P135" s="1"/>
      <c r="Q135" s="1"/>
    </row>
    <row r="136" spans="1:17" x14ac:dyDescent="0.25">
      <c r="A136" s="5" t="str">
        <f t="shared" si="37"/>
        <v>STEM</v>
      </c>
      <c r="B136" s="5" t="str">
        <f t="shared" si="72"/>
        <v>SPS4</v>
      </c>
      <c r="C136" s="5" t="str">
        <f t="shared" si="38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3.2535000561692424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3.6513843920471833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3.7059067315565146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3.6990695158929845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3.8340158976301923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4.0166399190747111</v>
      </c>
    </row>
    <row r="137" spans="1:17" x14ac:dyDescent="0.25">
      <c r="A137" s="5" t="str">
        <f t="shared" si="37"/>
        <v>STEM</v>
      </c>
      <c r="B137" s="5" t="str">
        <f t="shared" si="72"/>
        <v>SPS4</v>
      </c>
      <c r="C137" s="5" t="str">
        <f t="shared" si="38"/>
        <v>CH</v>
      </c>
      <c r="D137" t="s">
        <v>61</v>
      </c>
      <c r="E137" t="str">
        <f t="shared" si="77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38" spans="1:17" x14ac:dyDescent="0.25">
      <c r="A138" s="5" t="str">
        <f t="shared" si="37"/>
        <v>STEM</v>
      </c>
      <c r="B138" s="5" t="str">
        <f t="shared" si="72"/>
        <v>SPS4</v>
      </c>
      <c r="C138" s="5" t="str">
        <f t="shared" si="38"/>
        <v>CH</v>
      </c>
      <c r="D138" t="s">
        <v>62</v>
      </c>
      <c r="E138" t="str">
        <f t="shared" si="77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0.75881972638377337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0.70613933451821664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0.71374974825576498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0.70126508991367531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0.69577741433005103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0.69452054730033819</v>
      </c>
    </row>
    <row r="139" spans="1:17" x14ac:dyDescent="0.25">
      <c r="A139" s="5" t="str">
        <f t="shared" si="37"/>
        <v>STEM</v>
      </c>
      <c r="B139" s="5" t="str">
        <f t="shared" si="72"/>
        <v>SPS4</v>
      </c>
      <c r="C139" s="5" t="str">
        <f t="shared" si="38"/>
        <v>CH</v>
      </c>
      <c r="D139" t="s">
        <v>63</v>
      </c>
      <c r="E139" t="str">
        <f t="shared" si="77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</v>
      </c>
    </row>
    <row r="140" spans="1:17" x14ac:dyDescent="0.25">
      <c r="A140" s="5" t="str">
        <f t="shared" si="37"/>
        <v>STEM</v>
      </c>
      <c r="B140" s="5" t="str">
        <f t="shared" si="72"/>
        <v>SPS4</v>
      </c>
      <c r="C140" s="5" t="str">
        <f t="shared" si="38"/>
        <v>CH</v>
      </c>
      <c r="D140" t="s">
        <v>64</v>
      </c>
      <c r="E140" t="str">
        <f t="shared" si="77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37"/>
        <v>STEM</v>
      </c>
      <c r="B141" s="5" t="str">
        <f t="shared" si="72"/>
        <v>SPS4</v>
      </c>
      <c r="C141" s="5" t="str">
        <f t="shared" si="38"/>
        <v>CH</v>
      </c>
      <c r="D141" t="s">
        <v>65</v>
      </c>
      <c r="E141" t="str">
        <f t="shared" si="77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37"/>
        <v>STEM</v>
      </c>
      <c r="B142" s="5" t="str">
        <f t="shared" si="72"/>
        <v>SPS4</v>
      </c>
      <c r="C142" s="5" t="str">
        <f t="shared" si="38"/>
        <v>CH</v>
      </c>
      <c r="D142" t="s">
        <v>801</v>
      </c>
      <c r="E142" t="str">
        <f>E141</f>
        <v>PJ/yr.</v>
      </c>
      <c r="F142" s="1">
        <f>SUM(F143:F148)</f>
        <v>4.2423634835537767</v>
      </c>
      <c r="G142" s="1">
        <f t="shared" ref="G142:K142" si="79">SUM(G143:G148)</f>
        <v>4.5876813808719099</v>
      </c>
      <c r="H142" s="1">
        <f t="shared" si="79"/>
        <v>4.7563630116476734</v>
      </c>
      <c r="I142" s="1">
        <f t="shared" si="79"/>
        <v>4.7332801224880372</v>
      </c>
      <c r="J142" s="1">
        <f t="shared" si="79"/>
        <v>4.8573181070215705</v>
      </c>
      <c r="K142" s="1">
        <f t="shared" si="79"/>
        <v>5.0353609279785072</v>
      </c>
    </row>
    <row r="143" spans="1:17" x14ac:dyDescent="0.25">
      <c r="A143" s="5" t="str">
        <f t="shared" si="37"/>
        <v>STEM</v>
      </c>
      <c r="B143" s="5" t="str">
        <f t="shared" si="72"/>
        <v>SPS4</v>
      </c>
      <c r="C143" s="5" t="str">
        <f t="shared" si="38"/>
        <v>CH</v>
      </c>
      <c r="D143" t="s">
        <v>56</v>
      </c>
      <c r="E143" t="str">
        <f>E142</f>
        <v>PJ/yr.</v>
      </c>
      <c r="F143" s="1">
        <f>F129-F136</f>
        <v>3.2535000561692424</v>
      </c>
      <c r="G143" s="1">
        <f t="shared" ref="G143:K143" si="80">G129-G136</f>
        <v>3.6513843920471833</v>
      </c>
      <c r="H143" s="1">
        <f t="shared" si="80"/>
        <v>3.7059067315565155</v>
      </c>
      <c r="I143" s="1">
        <f t="shared" si="80"/>
        <v>3.6990695158929845</v>
      </c>
      <c r="J143" s="1">
        <f t="shared" si="80"/>
        <v>3.8340158976301923</v>
      </c>
      <c r="K143" s="1">
        <f t="shared" si="80"/>
        <v>4.0166399190747111</v>
      </c>
    </row>
    <row r="144" spans="1:17" x14ac:dyDescent="0.25">
      <c r="A144" s="5" t="str">
        <f t="shared" si="37"/>
        <v>STEM</v>
      </c>
      <c r="B144" s="5" t="str">
        <f t="shared" si="72"/>
        <v>SPS4</v>
      </c>
      <c r="C144" s="5" t="str">
        <f t="shared" si="38"/>
        <v>CH</v>
      </c>
      <c r="D144" t="s">
        <v>57</v>
      </c>
      <c r="E144" t="str">
        <f t="shared" si="77"/>
        <v>PJ/yr.</v>
      </c>
      <c r="F144" s="1">
        <f t="shared" ref="F144:K144" si="81">F130-F137</f>
        <v>0</v>
      </c>
      <c r="G144" s="1">
        <f t="shared" si="81"/>
        <v>0</v>
      </c>
      <c r="H144" s="1">
        <f t="shared" si="81"/>
        <v>0</v>
      </c>
      <c r="I144" s="1">
        <f t="shared" si="81"/>
        <v>0</v>
      </c>
      <c r="J144" s="1">
        <f t="shared" si="81"/>
        <v>0</v>
      </c>
      <c r="K144" s="1">
        <f t="shared" si="81"/>
        <v>0</v>
      </c>
    </row>
    <row r="145" spans="1:11" x14ac:dyDescent="0.25">
      <c r="A145" s="5" t="str">
        <f t="shared" si="37"/>
        <v>STEM</v>
      </c>
      <c r="B145" s="5" t="str">
        <f t="shared" si="72"/>
        <v>SPS4</v>
      </c>
      <c r="C145" s="5" t="str">
        <f t="shared" si="38"/>
        <v>CH</v>
      </c>
      <c r="D145" t="s">
        <v>58</v>
      </c>
      <c r="E145" t="str">
        <f t="shared" si="77"/>
        <v>PJ/yr.</v>
      </c>
      <c r="F145" s="1">
        <f t="shared" ref="F145:K145" si="82">F131-F138</f>
        <v>0.75881972638377337</v>
      </c>
      <c r="G145" s="1">
        <f t="shared" si="82"/>
        <v>0.70613933451821664</v>
      </c>
      <c r="H145" s="1">
        <f t="shared" si="82"/>
        <v>0.71374974825576498</v>
      </c>
      <c r="I145" s="1">
        <f t="shared" si="82"/>
        <v>0.70126508991367531</v>
      </c>
      <c r="J145" s="1">
        <f t="shared" si="82"/>
        <v>0.69577741433005103</v>
      </c>
      <c r="K145" s="1">
        <f t="shared" si="82"/>
        <v>0.69452054730033841</v>
      </c>
    </row>
    <row r="146" spans="1:11" x14ac:dyDescent="0.25">
      <c r="A146" s="5" t="str">
        <f t="shared" si="37"/>
        <v>STEM</v>
      </c>
      <c r="B146" s="5" t="str">
        <f t="shared" si="72"/>
        <v>SPS4</v>
      </c>
      <c r="C146" s="5" t="str">
        <f t="shared" si="38"/>
        <v>CH</v>
      </c>
      <c r="D146" t="s">
        <v>59</v>
      </c>
      <c r="E146" t="str">
        <f t="shared" si="77"/>
        <v>PJ/yr.</v>
      </c>
      <c r="F146" s="1">
        <f t="shared" ref="F146:K146" si="83">F132-F139</f>
        <v>0</v>
      </c>
      <c r="G146" s="1">
        <f t="shared" si="83"/>
        <v>0</v>
      </c>
      <c r="H146" s="1">
        <f t="shared" si="83"/>
        <v>0</v>
      </c>
      <c r="I146" s="1">
        <f t="shared" si="83"/>
        <v>0</v>
      </c>
      <c r="J146" s="1">
        <f t="shared" si="83"/>
        <v>0</v>
      </c>
      <c r="K146" s="1">
        <f t="shared" si="83"/>
        <v>0</v>
      </c>
    </row>
    <row r="147" spans="1:11" x14ac:dyDescent="0.25">
      <c r="A147" s="5" t="str">
        <f t="shared" si="37"/>
        <v>STEM</v>
      </c>
      <c r="B147" s="5" t="str">
        <f t="shared" si="72"/>
        <v>SPS4</v>
      </c>
      <c r="C147" s="5" t="str">
        <f t="shared" si="38"/>
        <v>CH</v>
      </c>
      <c r="D147" t="s">
        <v>54</v>
      </c>
      <c r="E147" t="str">
        <f t="shared" si="77"/>
        <v>PJ/yr.</v>
      </c>
      <c r="F147" s="1">
        <f t="shared" ref="F147:K147" si="84">F133-F140</f>
        <v>0.2300437010007608</v>
      </c>
      <c r="G147" s="1">
        <f t="shared" si="84"/>
        <v>0.2301576543065095</v>
      </c>
      <c r="H147" s="1">
        <f t="shared" si="84"/>
        <v>0.33670653183539301</v>
      </c>
      <c r="I147" s="1">
        <f t="shared" si="84"/>
        <v>0.33294551668137751</v>
      </c>
      <c r="J147" s="1">
        <f t="shared" si="84"/>
        <v>0.32752479506132698</v>
      </c>
      <c r="K147" s="1">
        <f t="shared" si="84"/>
        <v>0.32420046160345822</v>
      </c>
    </row>
    <row r="148" spans="1:11" x14ac:dyDescent="0.25">
      <c r="A148" s="5" t="str">
        <f t="shared" ref="A148:B179" si="85">A147</f>
        <v>STEM</v>
      </c>
      <c r="B148" s="5" t="str">
        <f t="shared" si="72"/>
        <v>SPS4</v>
      </c>
      <c r="C148" s="5" t="str">
        <f t="shared" ref="C148:C179" si="86">C147</f>
        <v>CH</v>
      </c>
      <c r="D148" t="s">
        <v>55</v>
      </c>
      <c r="E148" t="str">
        <f t="shared" si="77"/>
        <v>PJ/yr.</v>
      </c>
      <c r="F148" s="1">
        <f t="shared" ref="F148:K148" si="87">F134-F141</f>
        <v>0</v>
      </c>
      <c r="G148" s="1">
        <f t="shared" si="87"/>
        <v>0</v>
      </c>
      <c r="H148" s="1">
        <f t="shared" si="87"/>
        <v>0</v>
      </c>
      <c r="I148" s="1">
        <f t="shared" si="87"/>
        <v>0</v>
      </c>
      <c r="J148" s="1">
        <f t="shared" si="87"/>
        <v>0</v>
      </c>
      <c r="K148" s="1">
        <f t="shared" si="87"/>
        <v>0</v>
      </c>
    </row>
    <row r="149" spans="1:11" x14ac:dyDescent="0.25">
      <c r="A149" s="5" t="str">
        <f t="shared" si="85"/>
        <v>STEM</v>
      </c>
      <c r="B149" s="5" t="str">
        <f t="shared" si="72"/>
        <v>SPS4</v>
      </c>
      <c r="C149" s="5" t="str">
        <f t="shared" si="86"/>
        <v>CH</v>
      </c>
      <c r="D149" t="s">
        <v>802</v>
      </c>
      <c r="E149" t="str">
        <f t="shared" si="77"/>
        <v>PJ/yr.</v>
      </c>
      <c r="F149" s="1">
        <f>SUM(F150:F156)</f>
        <v>0.59982356876552645</v>
      </c>
      <c r="G149" s="1">
        <f t="shared" ref="G149:K149" si="88">SUM(G150:G156)</f>
        <v>0.59982193834214237</v>
      </c>
      <c r="H149" s="1">
        <f t="shared" si="88"/>
        <v>0.93206465682162554</v>
      </c>
      <c r="I149" s="1">
        <f t="shared" si="88"/>
        <v>1.647122622032146</v>
      </c>
      <c r="J149" s="1">
        <f t="shared" si="88"/>
        <v>4.5422500378118285</v>
      </c>
      <c r="K149" s="1">
        <f t="shared" si="88"/>
        <v>5.8867290978699369</v>
      </c>
    </row>
    <row r="150" spans="1:11" x14ac:dyDescent="0.25">
      <c r="A150" s="5" t="str">
        <f t="shared" si="85"/>
        <v>STEM</v>
      </c>
      <c r="B150" s="5" t="str">
        <f t="shared" si="72"/>
        <v>SPS4</v>
      </c>
      <c r="C150" s="5" t="str">
        <f t="shared" si="86"/>
        <v>CH</v>
      </c>
      <c r="D150" t="s">
        <v>66</v>
      </c>
      <c r="E150" t="str">
        <f>E84</f>
        <v>PJ/yr.</v>
      </c>
      <c r="F150" s="1">
        <f>'[1]Electricity and CHPs'!B25</f>
        <v>0.42735760873980477</v>
      </c>
      <c r="G150" s="1">
        <f>'[1]Electricity and CHPs'!C25</f>
        <v>7.9079243461486828E-2</v>
      </c>
      <c r="H150" s="1">
        <f>'[1]Electricity and CHPs'!D25</f>
        <v>1.4085777682449933E-3</v>
      </c>
      <c r="I150" s="1">
        <f>'[1]Electricity and CHPs'!E25</f>
        <v>6.8380663580708181E-3</v>
      </c>
      <c r="J150" s="1">
        <f>'[1]Electricity and CHPs'!F25</f>
        <v>4.1939542931122894E-3</v>
      </c>
      <c r="K150" s="1">
        <f>'[1]Electricity and CHPs'!G25</f>
        <v>2.8098145996688383E-3</v>
      </c>
    </row>
    <row r="151" spans="1:11" x14ac:dyDescent="0.25">
      <c r="A151" s="5" t="str">
        <f t="shared" si="85"/>
        <v>STEM</v>
      </c>
      <c r="B151" s="5" t="str">
        <f t="shared" si="72"/>
        <v>SPS4</v>
      </c>
      <c r="C151" s="5" t="str">
        <f t="shared" si="86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</v>
      </c>
    </row>
    <row r="152" spans="1:11" x14ac:dyDescent="0.25">
      <c r="A152" s="5" t="str">
        <f t="shared" si="85"/>
        <v>STEM</v>
      </c>
      <c r="B152" s="5" t="str">
        <f t="shared" si="72"/>
        <v>SPS4</v>
      </c>
      <c r="C152" s="5" t="str">
        <f t="shared" si="86"/>
        <v>CH</v>
      </c>
      <c r="D152" t="s">
        <v>68</v>
      </c>
      <c r="E152" t="str">
        <f>E75</f>
        <v>PJ/yr.</v>
      </c>
      <c r="F152" s="1">
        <f>'[1]Electricity and CHPs'!B42</f>
        <v>0.17246596002572162</v>
      </c>
      <c r="G152" s="1">
        <f>'[1]Electricity and CHPs'!C42</f>
        <v>0.5207426948806555</v>
      </c>
      <c r="H152" s="1">
        <f>'[1]Electricity and CHPs'!D42</f>
        <v>0.93065607905338055</v>
      </c>
      <c r="I152" s="1">
        <f>'[1]Electricity and CHPs'!E42</f>
        <v>1.6380461097315191</v>
      </c>
      <c r="J152" s="1">
        <f>'[1]Electricity and CHPs'!F42</f>
        <v>4.5360374275928725</v>
      </c>
      <c r="K152" s="1">
        <f>'[1]Electricity and CHPs'!G42</f>
        <v>5.8829191865159345</v>
      </c>
    </row>
    <row r="153" spans="1:11" x14ac:dyDescent="0.25">
      <c r="A153" s="5" t="str">
        <f t="shared" si="85"/>
        <v>STEM</v>
      </c>
      <c r="B153" s="5" t="str">
        <f t="shared" si="72"/>
        <v>SPS4</v>
      </c>
      <c r="C153" s="5" t="str">
        <f t="shared" si="86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</v>
      </c>
      <c r="K153" s="1">
        <f>'[1]Electricity and CHPs'!G43</f>
        <v>0</v>
      </c>
    </row>
    <row r="154" spans="1:11" x14ac:dyDescent="0.25">
      <c r="A154" s="5" t="str">
        <f t="shared" si="85"/>
        <v>STEM</v>
      </c>
      <c r="B154" s="5" t="str">
        <f t="shared" si="72"/>
        <v>SPS4</v>
      </c>
      <c r="C154" s="5" t="str">
        <f t="shared" si="86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4.9136297596228675E-4</v>
      </c>
      <c r="J154" s="1">
        <f>'[1]Electricity and CHPs'!F50</f>
        <v>5.4671590802011496E-4</v>
      </c>
      <c r="K154" s="1">
        <f>'[1]Electricity and CHPs'!G50</f>
        <v>3.1270229936984867E-4</v>
      </c>
    </row>
    <row r="155" spans="1:11" x14ac:dyDescent="0.25">
      <c r="A155" s="5" t="str">
        <f t="shared" si="85"/>
        <v>STEM</v>
      </c>
      <c r="B155" s="5" t="str">
        <f t="shared" si="72"/>
        <v>SPS4</v>
      </c>
      <c r="C155" s="5" t="str">
        <f t="shared" si="86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1.1648107214398068E-3</v>
      </c>
      <c r="J155" s="1">
        <f>'[1]Electricity and CHPs'!F53</f>
        <v>9.3608165656078736E-4</v>
      </c>
      <c r="K155" s="1">
        <f>'[1]Electricity and CHPs'!G53</f>
        <v>5.1448821470935068E-4</v>
      </c>
    </row>
    <row r="156" spans="1:11" x14ac:dyDescent="0.25">
      <c r="A156" s="5" t="str">
        <f t="shared" si="85"/>
        <v>STEM</v>
      </c>
      <c r="B156" s="5" t="str">
        <f t="shared" si="72"/>
        <v>SPS4</v>
      </c>
      <c r="C156" s="5" t="str">
        <f t="shared" si="86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5.8227224515422396E-4</v>
      </c>
      <c r="J156" s="1">
        <f>'[1]Electricity and CHPs'!F56</f>
        <v>5.3585836126340358E-4</v>
      </c>
      <c r="K156" s="1">
        <f>'[1]Electricity and CHPs'!G56</f>
        <v>1.7290624025408286E-4</v>
      </c>
    </row>
    <row r="157" spans="1:11" x14ac:dyDescent="0.25">
      <c r="A157" s="5" t="str">
        <f t="shared" si="85"/>
        <v>STEM</v>
      </c>
      <c r="B157" s="5" t="str">
        <f t="shared" si="72"/>
        <v>SPS4</v>
      </c>
      <c r="C157" s="5" t="str">
        <f t="shared" si="86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89">G158</f>
        <v>0.54529214003557536</v>
      </c>
      <c r="H157" s="1">
        <f t="shared" si="89"/>
        <v>0.50317475832550185</v>
      </c>
      <c r="I157" s="1">
        <f t="shared" si="89"/>
        <v>2.4898100987884928</v>
      </c>
      <c r="J157" s="1">
        <f t="shared" si="89"/>
        <v>6.6692979971120971</v>
      </c>
      <c r="K157" s="1">
        <f t="shared" si="89"/>
        <v>13.338572339756015</v>
      </c>
    </row>
    <row r="158" spans="1:11" x14ac:dyDescent="0.25">
      <c r="A158" s="5" t="str">
        <f t="shared" si="85"/>
        <v>STEM</v>
      </c>
      <c r="B158" s="5" t="str">
        <f t="shared" si="72"/>
        <v>SPS4</v>
      </c>
      <c r="C158" s="5" t="str">
        <f t="shared" si="86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0.54529214003557536</v>
      </c>
      <c r="H158" s="1">
        <f>'[1]Electricity and CHPs'!D33</f>
        <v>0.50317475832550185</v>
      </c>
      <c r="I158" s="1">
        <f>'[1]Electricity and CHPs'!E33</f>
        <v>2.4898100987884928</v>
      </c>
      <c r="J158" s="1">
        <f>'[1]Electricity and CHPs'!F33</f>
        <v>6.6692979971120971</v>
      </c>
      <c r="K158" s="1">
        <f>'[1]Electricity and CHPs'!G33</f>
        <v>13.338572339756015</v>
      </c>
    </row>
    <row r="159" spans="1:11" x14ac:dyDescent="0.25">
      <c r="A159" s="5" t="str">
        <f t="shared" si="85"/>
        <v>STEM</v>
      </c>
      <c r="B159" s="5" t="str">
        <f t="shared" si="72"/>
        <v>SPS4</v>
      </c>
      <c r="C159" s="5" t="str">
        <f t="shared" si="86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0">SUM(G160:G164)</f>
        <v>12.822579245580162</v>
      </c>
      <c r="H159" s="1">
        <f t="shared" si="90"/>
        <v>28.80000993311593</v>
      </c>
      <c r="I159" s="1">
        <f t="shared" si="90"/>
        <v>32.908229272738481</v>
      </c>
      <c r="J159" s="1">
        <f t="shared" si="90"/>
        <v>44.916654222330905</v>
      </c>
      <c r="K159" s="1">
        <f t="shared" si="90"/>
        <v>75.546681528826738</v>
      </c>
    </row>
    <row r="160" spans="1:11" x14ac:dyDescent="0.25">
      <c r="A160" s="5" t="str">
        <f t="shared" si="85"/>
        <v>STEM</v>
      </c>
      <c r="B160" s="5" t="str">
        <f t="shared" si="72"/>
        <v>SPS4</v>
      </c>
      <c r="C160" s="5" t="str">
        <f t="shared" si="86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0.1408056027806257</v>
      </c>
      <c r="I160" s="1">
        <f>'[1]Electricity and CHPs'!E34</f>
        <v>0.15584625171408761</v>
      </c>
      <c r="J160" s="1">
        <f>'[1]Electricity and CHPs'!F34</f>
        <v>1.5267883493938024</v>
      </c>
      <c r="K160" s="1">
        <f>'[1]Electricity and CHPs'!G34</f>
        <v>6.9637974184391407</v>
      </c>
    </row>
    <row r="161" spans="1:11" x14ac:dyDescent="0.25">
      <c r="A161" s="5" t="str">
        <f t="shared" si="85"/>
        <v>STEM</v>
      </c>
      <c r="B161" s="5" t="str">
        <f t="shared" si="72"/>
        <v>SPS4</v>
      </c>
      <c r="C161" s="5" t="str">
        <f t="shared" si="86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4.8498358001498492</v>
      </c>
      <c r="H161" s="1">
        <f>'[1]Electricity and CHPs'!D35</f>
        <v>9.5945034499488386</v>
      </c>
      <c r="I161" s="1">
        <f>'[1]Electricity and CHPs'!E35</f>
        <v>11.157193467520752</v>
      </c>
      <c r="J161" s="1">
        <f>'[1]Electricity and CHPs'!F35</f>
        <v>23.249616601369251</v>
      </c>
      <c r="K161" s="1">
        <f>'[1]Electricity and CHPs'!G35</f>
        <v>52.941630400731988</v>
      </c>
    </row>
    <row r="162" spans="1:11" x14ac:dyDescent="0.25">
      <c r="A162" s="5" t="str">
        <f t="shared" si="85"/>
        <v>STEM</v>
      </c>
      <c r="B162" s="5" t="str">
        <f t="shared" si="72"/>
        <v>SPS4</v>
      </c>
      <c r="C162" s="5" t="str">
        <f t="shared" si="86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3.3906840796495485</v>
      </c>
      <c r="H162" s="1">
        <f>'[1]Electricity and CHPs'!D36</f>
        <v>8.0481984095660764</v>
      </c>
      <c r="I162" s="1">
        <f>'[1]Electricity and CHPs'!E36</f>
        <v>8.7799593720672053</v>
      </c>
      <c r="J162" s="1">
        <f>'[1]Electricity and CHPs'!F36</f>
        <v>5.9842555835929954</v>
      </c>
      <c r="K162" s="1">
        <f>'[1]Electricity and CHPs'!G36</f>
        <v>4.2225440679390346E-3</v>
      </c>
    </row>
    <row r="163" spans="1:11" x14ac:dyDescent="0.25">
      <c r="A163" s="5" t="str">
        <f t="shared" si="85"/>
        <v>STEM</v>
      </c>
      <c r="B163" s="5" t="str">
        <f t="shared" si="72"/>
        <v>SPS4</v>
      </c>
      <c r="C163" s="5" t="str">
        <f t="shared" si="86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1.2876042538103001</v>
      </c>
      <c r="H163" s="1">
        <f>'[1]Electricity and CHPs'!D37</f>
        <v>4.1841043651304028</v>
      </c>
      <c r="I163" s="1">
        <f>'[1]Electricity and CHPs'!E37</f>
        <v>4.8672184108232539</v>
      </c>
      <c r="J163" s="1">
        <f>'[1]Electricity and CHPs'!F37</f>
        <v>5.376442865507733</v>
      </c>
      <c r="K163" s="1">
        <f>'[1]Electricity and CHPs'!G37</f>
        <v>5.9389441810749268</v>
      </c>
    </row>
    <row r="164" spans="1:11" x14ac:dyDescent="0.25">
      <c r="A164" s="5" t="str">
        <f t="shared" si="85"/>
        <v>STEM</v>
      </c>
      <c r="B164" s="5" t="str">
        <f t="shared" si="72"/>
        <v>SPS4</v>
      </c>
      <c r="C164" s="5" t="str">
        <f t="shared" si="86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3.2944551119704646</v>
      </c>
      <c r="H164" s="1">
        <f>'[1]Electricity and CHPs'!D38</f>
        <v>6.8323981056899878</v>
      </c>
      <c r="I164" s="1">
        <f>'[1]Electricity and CHPs'!E38</f>
        <v>7.9480117706131743</v>
      </c>
      <c r="J164" s="1">
        <f>'[1]Electricity and CHPs'!F38</f>
        <v>8.7795508224671206</v>
      </c>
      <c r="K164" s="1">
        <f>'[1]Electricity and CHPs'!G38</f>
        <v>9.6980869845127362</v>
      </c>
    </row>
    <row r="165" spans="1:11" x14ac:dyDescent="0.25">
      <c r="A165" s="5" t="str">
        <f>A168</f>
        <v>STEM</v>
      </c>
      <c r="B165" s="5" t="str">
        <f t="shared" si="72"/>
        <v>SPS4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5.0249131599624727E-3</v>
      </c>
      <c r="K165" s="1">
        <f>'[1]Electricity and CHPs'!G32</f>
        <v>5.0324924636131977E-3</v>
      </c>
    </row>
    <row r="166" spans="1:11" x14ac:dyDescent="0.25">
      <c r="A166" s="5" t="str">
        <f t="shared" ref="A166" si="91">A165</f>
        <v>STEM</v>
      </c>
      <c r="B166" s="5" t="str">
        <f t="shared" si="72"/>
        <v>SPS4</v>
      </c>
      <c r="C166" s="5" t="str">
        <f t="shared" ref="C166" si="9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93">G165</f>
        <v>0</v>
      </c>
      <c r="H166" s="1">
        <f t="shared" si="93"/>
        <v>0</v>
      </c>
      <c r="I166" s="1">
        <f t="shared" si="93"/>
        <v>0</v>
      </c>
      <c r="J166" s="1">
        <f t="shared" si="93"/>
        <v>5.0249131599624727E-3</v>
      </c>
      <c r="K166" s="1">
        <f t="shared" si="93"/>
        <v>5.0324924636131977E-3</v>
      </c>
    </row>
    <row r="167" spans="1:11" x14ac:dyDescent="0.25">
      <c r="A167" s="5" t="str">
        <f>A164</f>
        <v>STEM</v>
      </c>
      <c r="B167" s="5" t="str">
        <f t="shared" si="72"/>
        <v>SPS4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94">SUM(F168:F170)</f>
        <v>0</v>
      </c>
      <c r="G167" s="1">
        <f t="shared" si="94"/>
        <v>0</v>
      </c>
      <c r="H167" s="1">
        <f t="shared" si="94"/>
        <v>0</v>
      </c>
      <c r="I167" s="1">
        <f t="shared" si="94"/>
        <v>2.7900375373658658E-3</v>
      </c>
      <c r="J167" s="1">
        <f t="shared" si="94"/>
        <v>3.127058890707194E-2</v>
      </c>
      <c r="K167" s="1">
        <f t="shared" si="94"/>
        <v>0.12233958147782401</v>
      </c>
    </row>
    <row r="168" spans="1:11" x14ac:dyDescent="0.25">
      <c r="A168" s="5" t="str">
        <f t="shared" si="85"/>
        <v>STEM</v>
      </c>
      <c r="B168" s="5" t="str">
        <f t="shared" si="72"/>
        <v>SPS4</v>
      </c>
      <c r="C168" s="5" t="str">
        <f t="shared" si="86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1.3937249907621661E-2</v>
      </c>
      <c r="K168" s="1">
        <f>'[1]Electricity and CHPs'!G30</f>
        <v>7.5058427706234887E-2</v>
      </c>
    </row>
    <row r="169" spans="1:11" x14ac:dyDescent="0.25">
      <c r="A169" s="5" t="str">
        <f>A165</f>
        <v>STEM</v>
      </c>
      <c r="B169" s="5" t="str">
        <f t="shared" si="72"/>
        <v>SPS4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2.3624918468301702E-3</v>
      </c>
      <c r="J169" s="1">
        <f>'[1]Electricity and CHPs'!F46</f>
        <v>1.6825901351121761E-2</v>
      </c>
      <c r="K169" s="1">
        <f>'[1]Electricity and CHPs'!G46</f>
        <v>4.6964984478888368E-2</v>
      </c>
    </row>
    <row r="170" spans="1:11" x14ac:dyDescent="0.25">
      <c r="A170" s="5" t="str">
        <f t="shared" si="85"/>
        <v>STEM</v>
      </c>
      <c r="B170" s="5" t="str">
        <f t="shared" si="72"/>
        <v>SPS4</v>
      </c>
      <c r="C170" s="5" t="str">
        <f t="shared" si="86"/>
        <v>CH</v>
      </c>
      <c r="D170" t="s">
        <v>234</v>
      </c>
      <c r="E170" t="str">
        <f t="shared" ref="E170:E178" si="9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4.2754569053569545E-4</v>
      </c>
      <c r="J170" s="1">
        <f>'[1]Electricity and CHPs'!F57</f>
        <v>5.0743764832851903E-4</v>
      </c>
      <c r="K170" s="1">
        <f>'[1]Electricity and CHPs'!G57</f>
        <v>3.1616929270075533E-4</v>
      </c>
    </row>
    <row r="171" spans="1:11" x14ac:dyDescent="0.25">
      <c r="A171" s="5" t="str">
        <f t="shared" si="85"/>
        <v>STEM</v>
      </c>
      <c r="B171" s="5" t="str">
        <f t="shared" si="72"/>
        <v>SPS4</v>
      </c>
      <c r="C171" s="5" t="str">
        <f t="shared" si="86"/>
        <v>CH</v>
      </c>
      <c r="D171" t="s">
        <v>807</v>
      </c>
      <c r="E171" t="str">
        <f t="shared" si="95"/>
        <v>PJ/yr.</v>
      </c>
      <c r="F171" s="1">
        <f>SUM(F172:F178)</f>
        <v>0.10050720608905254</v>
      </c>
      <c r="G171" s="1">
        <f t="shared" ref="G171:K171" si="96">SUM(G172:G178)</f>
        <v>1.1249449391378183E-2</v>
      </c>
      <c r="H171" s="1">
        <f t="shared" si="96"/>
        <v>7.5418330657953309E-2</v>
      </c>
      <c r="I171" s="1">
        <f t="shared" si="96"/>
        <v>0.25376761927656333</v>
      </c>
      <c r="J171" s="1">
        <f t="shared" si="96"/>
        <v>0.21902511041023653</v>
      </c>
      <c r="K171" s="1">
        <f t="shared" si="96"/>
        <v>1.3779926968061684</v>
      </c>
    </row>
    <row r="172" spans="1:11" x14ac:dyDescent="0.25">
      <c r="A172" s="5" t="str">
        <f t="shared" si="85"/>
        <v>STEM</v>
      </c>
      <c r="B172" s="5" t="str">
        <f t="shared" si="72"/>
        <v>SPS4</v>
      </c>
      <c r="C172" s="5" t="str">
        <f t="shared" si="86"/>
        <v>CH</v>
      </c>
      <c r="D172" t="s">
        <v>79</v>
      </c>
      <c r="E172" t="str">
        <f t="shared" si="95"/>
        <v>PJ/yr.</v>
      </c>
      <c r="F172" s="1">
        <f>'[1]Electricity and CHPs'!B70</f>
        <v>9.4513902411332562E-2</v>
      </c>
      <c r="G172" s="1">
        <f>'[1]Electricity and CHPs'!C70</f>
        <v>5.9089510275517586E-3</v>
      </c>
      <c r="H172" s="1">
        <f>'[1]Electricity and CHPs'!D70</f>
        <v>6.9367069511085691E-2</v>
      </c>
      <c r="I172" s="1">
        <f>'[1]Electricity and CHPs'!E70</f>
        <v>6.9356202772801273E-2</v>
      </c>
      <c r="J172" s="1">
        <f>'[1]Electricity and CHPs'!F70</f>
        <v>1.9828891552237007E-2</v>
      </c>
      <c r="K172" s="1">
        <f>'[1]Electricity and CHPs'!G70</f>
        <v>9.4491915294046144E-2</v>
      </c>
    </row>
    <row r="173" spans="1:11" x14ac:dyDescent="0.25">
      <c r="A173" s="5" t="str">
        <f t="shared" si="85"/>
        <v>STEM</v>
      </c>
      <c r="B173" s="5" t="str">
        <f t="shared" si="72"/>
        <v>SPS4</v>
      </c>
      <c r="C173" s="5" t="str">
        <f t="shared" si="86"/>
        <v>CH</v>
      </c>
      <c r="D173" t="s">
        <v>80</v>
      </c>
      <c r="E173" t="str">
        <f t="shared" si="95"/>
        <v>PJ/yr.</v>
      </c>
      <c r="F173" s="1">
        <f>'[1]Electricity and CHPs'!B71</f>
        <v>1.6209043237908624E-3</v>
      </c>
      <c r="G173" s="1">
        <f>'[1]Electricity and CHPs'!C71</f>
        <v>1.282050990940414E-3</v>
      </c>
      <c r="H173" s="1">
        <f>'[1]Electricity and CHPs'!D71</f>
        <v>1.644142305613115E-3</v>
      </c>
      <c r="I173" s="1">
        <f>'[1]Electricity and CHPs'!E71</f>
        <v>1.5325656675920689E-3</v>
      </c>
      <c r="J173" s="1">
        <f>'[1]Electricity and CHPs'!F71</f>
        <v>3.5541874089659387E-3</v>
      </c>
      <c r="K173" s="1">
        <f>'[1]Electricity and CHPs'!G71</f>
        <v>0.77386293549681462</v>
      </c>
    </row>
    <row r="174" spans="1:11" x14ac:dyDescent="0.25">
      <c r="A174" s="5" t="str">
        <f t="shared" si="85"/>
        <v>STEM</v>
      </c>
      <c r="B174" s="5" t="str">
        <f t="shared" si="72"/>
        <v>SPS4</v>
      </c>
      <c r="C174" s="5" t="str">
        <f t="shared" si="86"/>
        <v>CH</v>
      </c>
      <c r="D174" t="s">
        <v>81</v>
      </c>
      <c r="E174" t="str">
        <f t="shared" si="95"/>
        <v>PJ/yr.</v>
      </c>
      <c r="F174" s="1">
        <f>'[1]Electricity and CHPs'!B72</f>
        <v>1.4579371636791591E-3</v>
      </c>
      <c r="G174" s="1">
        <f>'[1]Electricity and CHPs'!C72</f>
        <v>1.1513930411379855E-3</v>
      </c>
      <c r="H174" s="1">
        <f>'[1]Electricity and CHPs'!D72</f>
        <v>1.4756982583846257E-3</v>
      </c>
      <c r="I174" s="1">
        <f>'[1]Electricity and CHPs'!E72</f>
        <v>1.4200626455369897E-3</v>
      </c>
      <c r="J174" s="1">
        <f>'[1]Electricity and CHPs'!F72</f>
        <v>3.3730887247353765E-3</v>
      </c>
      <c r="K174" s="1">
        <f>'[1]Electricity and CHPs'!G72</f>
        <v>4.7041308196371187E-2</v>
      </c>
    </row>
    <row r="175" spans="1:11" x14ac:dyDescent="0.25">
      <c r="A175" s="5" t="str">
        <f t="shared" si="85"/>
        <v>STEM</v>
      </c>
      <c r="B175" s="5" t="str">
        <f t="shared" si="72"/>
        <v>SPS4</v>
      </c>
      <c r="C175" s="5" t="str">
        <f t="shared" si="86"/>
        <v>CH</v>
      </c>
      <c r="D175" t="s">
        <v>82</v>
      </c>
      <c r="E175" t="str">
        <f t="shared" si="95"/>
        <v>PJ/yr.</v>
      </c>
      <c r="F175" s="1">
        <f>'[1]Electricity and CHPs'!B73</f>
        <v>4.5588022761996913E-4</v>
      </c>
      <c r="G175" s="1">
        <f>'[1]Electricity and CHPs'!C73</f>
        <v>4.547563665374838E-4</v>
      </c>
      <c r="H175" s="1">
        <f>'[1]Electricity and CHPs'!D73</f>
        <v>4.5751844756875074E-4</v>
      </c>
      <c r="I175" s="1">
        <f>'[1]Electricity and CHPs'!E73</f>
        <v>1.6430017431909563E-3</v>
      </c>
      <c r="J175" s="1">
        <f>'[1]Electricity and CHPs'!F73</f>
        <v>2.687114885551753E-3</v>
      </c>
      <c r="K175" s="1">
        <f>'[1]Electricity and CHPs'!G73</f>
        <v>2.14903815077123E-3</v>
      </c>
    </row>
    <row r="176" spans="1:11" x14ac:dyDescent="0.25">
      <c r="A176" s="5" t="str">
        <f t="shared" si="85"/>
        <v>STEM</v>
      </c>
      <c r="B176" s="5" t="str">
        <f t="shared" si="85"/>
        <v>SPS4</v>
      </c>
      <c r="C176" s="5" t="str">
        <f t="shared" si="86"/>
        <v>CH</v>
      </c>
      <c r="D176" t="s">
        <v>1853</v>
      </c>
      <c r="E176" t="str">
        <f t="shared" si="95"/>
        <v>PJ/yr.</v>
      </c>
      <c r="F176" s="1">
        <f>'[1]Electricity and CHPs'!B74</f>
        <v>1.000265541913388E-3</v>
      </c>
      <c r="G176" s="1">
        <f>'[1]Electricity and CHPs'!C74</f>
        <v>9.9768706029985965E-4</v>
      </c>
      <c r="H176" s="1">
        <f>'[1]Electricity and CHPs'!D74</f>
        <v>1.006643563202258E-3</v>
      </c>
      <c r="I176" s="1">
        <f>'[1]Electricity and CHPs'!E74</f>
        <v>8.7670250375653805E-2</v>
      </c>
      <c r="J176" s="1">
        <f>'[1]Electricity and CHPs'!F74</f>
        <v>4.5921960981168006E-2</v>
      </c>
      <c r="K176" s="1">
        <f>'[1]Electricity and CHPs'!G74</f>
        <v>0.22847761165139055</v>
      </c>
    </row>
    <row r="177" spans="1:11" x14ac:dyDescent="0.25">
      <c r="A177" s="5" t="str">
        <f t="shared" si="85"/>
        <v>STEM</v>
      </c>
      <c r="B177" s="5" t="str">
        <f t="shared" si="85"/>
        <v>SPS4</v>
      </c>
      <c r="C177" s="5" t="str">
        <f t="shared" si="86"/>
        <v>CH</v>
      </c>
      <c r="D177" t="s">
        <v>83</v>
      </c>
      <c r="E177" t="str">
        <f t="shared" si="95"/>
        <v>PJ/yr.</v>
      </c>
      <c r="F177" s="1">
        <f>'[1]Electricity and CHPs'!B75</f>
        <v>1.0003307659295483E-3</v>
      </c>
      <c r="G177" s="1">
        <f>'[1]Electricity and CHPs'!C75</f>
        <v>9.9775010634188099E-4</v>
      </c>
      <c r="H177" s="1">
        <f>'[1]Electricity and CHPs'!D75</f>
        <v>1.0077462694928019E-3</v>
      </c>
      <c r="I177" s="1">
        <f>'[1]Electricity and CHPs'!E75</f>
        <v>9.0458468804860082E-2</v>
      </c>
      <c r="J177" s="1">
        <f>'[1]Electricity and CHPs'!F75</f>
        <v>0.14118542764596809</v>
      </c>
      <c r="K177" s="1">
        <f>'[1]Electricity and CHPs'!G75</f>
        <v>0.23018810483878677</v>
      </c>
    </row>
    <row r="178" spans="1:11" x14ac:dyDescent="0.25">
      <c r="A178" s="5" t="str">
        <f t="shared" si="85"/>
        <v>STEM</v>
      </c>
      <c r="B178" s="5" t="str">
        <f t="shared" si="85"/>
        <v>SPS4</v>
      </c>
      <c r="C178" s="5" t="str">
        <f t="shared" si="86"/>
        <v>CH</v>
      </c>
      <c r="D178" t="s">
        <v>87</v>
      </c>
      <c r="E178" t="str">
        <f t="shared" si="95"/>
        <v>PJ/yr.</v>
      </c>
      <c r="F178" s="1">
        <f>'[1]Electricity and CHPs'!B76</f>
        <v>4.5798565478705227E-4</v>
      </c>
      <c r="G178" s="1">
        <f>'[1]Electricity and CHPs'!C76</f>
        <v>4.5686079856880333E-4</v>
      </c>
      <c r="H178" s="1">
        <f>'[1]Electricity and CHPs'!D76</f>
        <v>4.5951230260605065E-4</v>
      </c>
      <c r="I178" s="1">
        <f>'[1]Electricity and CHPs'!E76</f>
        <v>1.6870672669281168E-3</v>
      </c>
      <c r="J178" s="1">
        <f>'[1]Electricity and CHPs'!F76</f>
        <v>2.47443921161036E-3</v>
      </c>
      <c r="K178" s="1">
        <f>'[1]Electricity and CHPs'!G76</f>
        <v>1.7817831779878104E-3</v>
      </c>
    </row>
    <row r="179" spans="1:11" x14ac:dyDescent="0.25">
      <c r="A179" s="9" t="str">
        <f t="shared" si="85"/>
        <v>STEM</v>
      </c>
      <c r="B179" s="9" t="str">
        <f t="shared" si="85"/>
        <v>SPS4</v>
      </c>
      <c r="C179" s="2" t="str">
        <f t="shared" si="86"/>
        <v>CH</v>
      </c>
      <c r="D179" s="2" t="s">
        <v>152</v>
      </c>
      <c r="E179" s="2" t="str">
        <f>E167</f>
        <v>PJ/yr.</v>
      </c>
      <c r="F179" s="3">
        <f>SUM(F180,F231)</f>
        <v>29.583374548972266</v>
      </c>
      <c r="G179" s="3">
        <f t="shared" ref="G179:K179" si="97">SUM(G180,G231)</f>
        <v>33.730397712938306</v>
      </c>
      <c r="H179" s="3">
        <f t="shared" si="97"/>
        <v>31.136923815028879</v>
      </c>
      <c r="I179" s="3">
        <f t="shared" si="97"/>
        <v>35.365659980843013</v>
      </c>
      <c r="J179" s="3">
        <f t="shared" si="97"/>
        <v>74.744523403403235</v>
      </c>
      <c r="K179" s="3">
        <f t="shared" si="97"/>
        <v>86.132043443348593</v>
      </c>
    </row>
    <row r="180" spans="1:11" x14ac:dyDescent="0.25">
      <c r="A180" s="5" t="s">
        <v>5</v>
      </c>
      <c r="B180" s="5" t="str">
        <f t="shared" ref="B180:B243" si="98">B179</f>
        <v>SPS4</v>
      </c>
      <c r="C180" s="5" t="s">
        <v>7</v>
      </c>
      <c r="D180" t="s">
        <v>808</v>
      </c>
      <c r="E180" t="str">
        <f>E168</f>
        <v>PJ/yr.</v>
      </c>
      <c r="F180" s="1">
        <f t="shared" ref="F180:K180" si="99">F181+F208</f>
        <v>23.057887547138066</v>
      </c>
      <c r="G180" s="1">
        <f t="shared" si="99"/>
        <v>25.545371099180784</v>
      </c>
      <c r="H180" s="1">
        <f t="shared" si="99"/>
        <v>23.601266562368814</v>
      </c>
      <c r="I180" s="1">
        <f t="shared" si="99"/>
        <v>26.17239982432001</v>
      </c>
      <c r="J180" s="1">
        <f t="shared" si="99"/>
        <v>27.083397703512802</v>
      </c>
      <c r="K180" s="1">
        <f t="shared" si="99"/>
        <v>29.070859851830395</v>
      </c>
    </row>
    <row r="181" spans="1:11" x14ac:dyDescent="0.25">
      <c r="A181" s="5" t="s">
        <v>5</v>
      </c>
      <c r="B181" s="5" t="str">
        <f t="shared" si="98"/>
        <v>SPS4</v>
      </c>
      <c r="C181" s="5" t="s">
        <v>7</v>
      </c>
      <c r="D181" t="s">
        <v>823</v>
      </c>
      <c r="E181" t="str">
        <f>E165</f>
        <v>PJ/yr.</v>
      </c>
      <c r="F181" s="1">
        <f t="shared" ref="F181:K181" si="100">SUM(F183,F187,F188,F196,F197,F205,F207)</f>
        <v>17.251042336091277</v>
      </c>
      <c r="G181" s="1">
        <f t="shared" si="100"/>
        <v>13.259787355555419</v>
      </c>
      <c r="H181" s="1">
        <f t="shared" si="100"/>
        <v>13.429402986905499</v>
      </c>
      <c r="I181" s="1">
        <f t="shared" si="100"/>
        <v>12.80398936545755</v>
      </c>
      <c r="J181" s="1">
        <f t="shared" si="100"/>
        <v>12.073122164259798</v>
      </c>
      <c r="K181" s="1">
        <f t="shared" si="100"/>
        <v>11.503044073481096</v>
      </c>
    </row>
    <row r="182" spans="1:11" x14ac:dyDescent="0.25">
      <c r="A182" s="5" t="s">
        <v>5</v>
      </c>
      <c r="B182" s="5" t="str">
        <f t="shared" si="98"/>
        <v>SPS4</v>
      </c>
      <c r="C182" s="5" t="s">
        <v>7</v>
      </c>
      <c r="D182" t="s">
        <v>809</v>
      </c>
      <c r="E182" t="s">
        <v>8</v>
      </c>
      <c r="F182" s="1">
        <f>F183</f>
        <v>9.2611904653907718E-3</v>
      </c>
      <c r="G182" s="1">
        <f t="shared" ref="G182:K182" si="101">G183</f>
        <v>4.1104725462727271E-4</v>
      </c>
      <c r="H182" s="1">
        <f t="shared" si="101"/>
        <v>1.7022158762816696E-3</v>
      </c>
      <c r="I182" s="1">
        <f t="shared" si="101"/>
        <v>1.165433017998883E-3</v>
      </c>
      <c r="J182" s="1">
        <f t="shared" si="101"/>
        <v>1.219038989069251E-3</v>
      </c>
      <c r="K182" s="1">
        <f t="shared" si="101"/>
        <v>3.9690758742258806E-4</v>
      </c>
    </row>
    <row r="183" spans="1:11" x14ac:dyDescent="0.25">
      <c r="A183" s="5" t="s">
        <v>5</v>
      </c>
      <c r="B183" s="5" t="str">
        <f t="shared" si="98"/>
        <v>SPS4</v>
      </c>
      <c r="C183" s="5" t="s">
        <v>7</v>
      </c>
      <c r="D183" t="s">
        <v>229</v>
      </c>
      <c r="E183" t="s">
        <v>8</v>
      </c>
      <c r="F183" s="1">
        <f>'[1]Electricity and CHPs'!B$94</f>
        <v>9.2611904653907718E-3</v>
      </c>
      <c r="G183" s="1">
        <f>'[1]Electricity and CHPs'!C$94</f>
        <v>4.1104725462727271E-4</v>
      </c>
      <c r="H183" s="1">
        <f>'[1]Electricity and CHPs'!D$94</f>
        <v>1.7022158762816696E-3</v>
      </c>
      <c r="I183" s="1">
        <f>'[1]Electricity and CHPs'!E$94</f>
        <v>1.165433017998883E-3</v>
      </c>
      <c r="J183" s="1">
        <f>'[1]Electricity and CHPs'!F$94</f>
        <v>1.219038989069251E-3</v>
      </c>
      <c r="K183" s="1">
        <f>'[1]Electricity and CHPs'!G$94</f>
        <v>3.9690758742258806E-4</v>
      </c>
    </row>
    <row r="184" spans="1:11" x14ac:dyDescent="0.25">
      <c r="A184" s="5" t="s">
        <v>5</v>
      </c>
      <c r="B184" s="5" t="str">
        <f t="shared" si="98"/>
        <v>SPS4</v>
      </c>
      <c r="C184" s="5" t="s">
        <v>7</v>
      </c>
      <c r="D184" t="s">
        <v>517</v>
      </c>
      <c r="E184" t="s">
        <v>8</v>
      </c>
      <c r="F184" s="1">
        <f>F183-F185</f>
        <v>9.2611904653907718E-3</v>
      </c>
      <c r="G184" s="1">
        <f t="shared" ref="G184:K184" si="102">G183-G185</f>
        <v>4.1104725462727271E-4</v>
      </c>
      <c r="H184" s="1">
        <f t="shared" si="102"/>
        <v>1.7022158762816696E-3</v>
      </c>
      <c r="I184" s="1">
        <f t="shared" si="102"/>
        <v>1.165433017998883E-3</v>
      </c>
      <c r="J184" s="1">
        <f t="shared" si="102"/>
        <v>1.219038989069251E-3</v>
      </c>
      <c r="K184" s="1">
        <f t="shared" si="102"/>
        <v>3.9690758742258806E-4</v>
      </c>
    </row>
    <row r="185" spans="1:11" x14ac:dyDescent="0.25">
      <c r="A185" s="5" t="s">
        <v>5</v>
      </c>
      <c r="B185" s="5" t="str">
        <f t="shared" si="98"/>
        <v>SPS4</v>
      </c>
      <c r="C185" s="5" t="s">
        <v>7</v>
      </c>
      <c r="D185" t="s">
        <v>541</v>
      </c>
      <c r="E185" t="s">
        <v>8</v>
      </c>
      <c r="F185" s="1">
        <f t="shared" ref="F185:K185" si="103">F183*IFERROR(F78/F74,0)</f>
        <v>0</v>
      </c>
      <c r="G185" s="1">
        <f t="shared" si="103"/>
        <v>0</v>
      </c>
      <c r="H185" s="1">
        <f t="shared" si="103"/>
        <v>0</v>
      </c>
      <c r="I185" s="1">
        <f t="shared" si="103"/>
        <v>0</v>
      </c>
      <c r="J185" s="1">
        <f t="shared" si="103"/>
        <v>0</v>
      </c>
      <c r="K185" s="1">
        <f t="shared" si="103"/>
        <v>0</v>
      </c>
    </row>
    <row r="186" spans="1:11" x14ac:dyDescent="0.25">
      <c r="A186" s="5" t="s">
        <v>5</v>
      </c>
      <c r="B186" s="5" t="str">
        <f t="shared" si="98"/>
        <v>SPS4</v>
      </c>
      <c r="C186" s="5" t="s">
        <v>7</v>
      </c>
      <c r="D186" t="s">
        <v>810</v>
      </c>
      <c r="E186" t="s">
        <v>8</v>
      </c>
      <c r="F186" s="1">
        <f>SUM(F187:F188)</f>
        <v>1.8035507221227052</v>
      </c>
      <c r="G186" s="1">
        <f t="shared" ref="G186:K186" si="104">SUM(G187:G188)</f>
        <v>9.0479389411280732E-4</v>
      </c>
      <c r="H186" s="1">
        <f t="shared" si="104"/>
        <v>1.623114590388827E-3</v>
      </c>
      <c r="I186" s="1">
        <f t="shared" si="104"/>
        <v>5.1715463450212355E-3</v>
      </c>
      <c r="J186" s="1">
        <f t="shared" si="104"/>
        <v>9.137667404420317E-3</v>
      </c>
      <c r="K186" s="1">
        <f t="shared" si="104"/>
        <v>1.4584609888606324E-3</v>
      </c>
    </row>
    <row r="187" spans="1:11" x14ac:dyDescent="0.25">
      <c r="A187" s="5" t="s">
        <v>5</v>
      </c>
      <c r="B187" s="5" t="str">
        <f t="shared" si="98"/>
        <v>SPS4</v>
      </c>
      <c r="C187" s="5" t="s">
        <v>7</v>
      </c>
      <c r="D187" t="s">
        <v>153</v>
      </c>
      <c r="E187" t="s">
        <v>8</v>
      </c>
      <c r="F187" s="1">
        <f>'[1]Electricity and CHPs'!B$91</f>
        <v>1.8035507221227052</v>
      </c>
      <c r="G187" s="1">
        <f>'[1]Electricity and CHPs'!C$91</f>
        <v>9.0479389411280732E-4</v>
      </c>
      <c r="H187" s="1">
        <f>'[1]Electricity and CHPs'!D$91</f>
        <v>1.623114590388827E-3</v>
      </c>
      <c r="I187" s="1">
        <f>'[1]Electricity and CHPs'!E$91</f>
        <v>5.1715463450212355E-3</v>
      </c>
      <c r="J187" s="1">
        <f>'[1]Electricity and CHPs'!F$91</f>
        <v>4.5091466005718105E-3</v>
      </c>
      <c r="K187" s="1">
        <f>'[1]Electricity and CHPs'!G$91</f>
        <v>4.4248684297225116E-4</v>
      </c>
    </row>
    <row r="188" spans="1:11" x14ac:dyDescent="0.25">
      <c r="A188" s="5" t="s">
        <v>5</v>
      </c>
      <c r="B188" s="5" t="str">
        <f t="shared" si="98"/>
        <v>SPS4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4.6285208038485065E-3</v>
      </c>
      <c r="K188" s="1">
        <f>'[1]Electricity and CHPs'!G$95</f>
        <v>1.0159741458883812E-3</v>
      </c>
    </row>
    <row r="189" spans="1:11" x14ac:dyDescent="0.25">
      <c r="A189" s="5"/>
      <c r="B189" s="5" t="str">
        <f t="shared" si="98"/>
        <v>SPS4</v>
      </c>
      <c r="C189" s="5" t="str">
        <f>C188</f>
        <v>CH</v>
      </c>
      <c r="D189" t="s">
        <v>811</v>
      </c>
      <c r="E189" t="s">
        <v>8</v>
      </c>
      <c r="F189" s="1">
        <f>SUM(F190:F191)</f>
        <v>1.7570666804928745</v>
      </c>
      <c r="G189" s="1">
        <f t="shared" ref="G189:K189" si="105">SUM(G190:G191)</f>
        <v>8.7708132048126993E-4</v>
      </c>
      <c r="H189" s="1">
        <f t="shared" si="105"/>
        <v>1.5696688046130535E-3</v>
      </c>
      <c r="I189" s="1">
        <f t="shared" si="105"/>
        <v>5.0177775744185468E-3</v>
      </c>
      <c r="J189" s="1">
        <f t="shared" si="105"/>
        <v>9.1057905905048316E-3</v>
      </c>
      <c r="K189" s="1">
        <f t="shared" si="105"/>
        <v>1.4516719261697072E-3</v>
      </c>
    </row>
    <row r="190" spans="1:11" x14ac:dyDescent="0.25">
      <c r="A190" s="5" t="s">
        <v>5</v>
      </c>
      <c r="B190" s="5" t="str">
        <f t="shared" si="98"/>
        <v>SPS4</v>
      </c>
      <c r="C190" s="5" t="s">
        <v>7</v>
      </c>
      <c r="D190" t="s">
        <v>567</v>
      </c>
      <c r="E190" t="s">
        <v>8</v>
      </c>
      <c r="F190" s="1">
        <f>F187-F193</f>
        <v>1.7570666804928745</v>
      </c>
      <c r="G190" s="1">
        <f t="shared" ref="G190:K190" si="106">G187-G193</f>
        <v>8.7708132048126993E-4</v>
      </c>
      <c r="H190" s="1">
        <f t="shared" si="106"/>
        <v>1.5696688046130535E-3</v>
      </c>
      <c r="I190" s="1">
        <f t="shared" si="106"/>
        <v>5.0177775744185468E-3</v>
      </c>
      <c r="J190" s="1">
        <f t="shared" si="106"/>
        <v>4.4934164124677285E-3</v>
      </c>
      <c r="K190" s="1">
        <f t="shared" si="106"/>
        <v>4.4042708893029012E-4</v>
      </c>
    </row>
    <row r="191" spans="1:11" x14ac:dyDescent="0.25">
      <c r="A191" s="5" t="s">
        <v>5</v>
      </c>
      <c r="B191" s="5" t="str">
        <f t="shared" si="98"/>
        <v>SPS4</v>
      </c>
      <c r="C191" s="5" t="s">
        <v>7</v>
      </c>
      <c r="D191" t="s">
        <v>568</v>
      </c>
      <c r="E191" t="s">
        <v>8</v>
      </c>
      <c r="F191" s="1">
        <f t="shared" ref="F191:K191" si="107">F188-F194</f>
        <v>0</v>
      </c>
      <c r="G191" s="1">
        <f t="shared" si="107"/>
        <v>0</v>
      </c>
      <c r="H191" s="1">
        <f t="shared" si="107"/>
        <v>0</v>
      </c>
      <c r="I191" s="1">
        <f t="shared" si="107"/>
        <v>0</v>
      </c>
      <c r="J191" s="1">
        <f t="shared" si="107"/>
        <v>4.612374178037104E-3</v>
      </c>
      <c r="K191" s="1">
        <f t="shared" si="107"/>
        <v>1.011244837239417E-3</v>
      </c>
    </row>
    <row r="192" spans="1:11" x14ac:dyDescent="0.25">
      <c r="A192" s="5"/>
      <c r="B192" s="5" t="str">
        <f t="shared" si="98"/>
        <v>SPS4</v>
      </c>
      <c r="C192" s="5" t="s">
        <v>7</v>
      </c>
      <c r="D192" t="s">
        <v>812</v>
      </c>
      <c r="E192" t="s">
        <v>8</v>
      </c>
      <c r="F192" s="1">
        <f>SUM(F193:F194)</f>
        <v>4.6484041629830615E-2</v>
      </c>
      <c r="G192" s="1">
        <f t="shared" ref="G192:K192" si="108">SUM(G193:G194)</f>
        <v>2.7712573631537383E-5</v>
      </c>
      <c r="H192" s="1">
        <f t="shared" si="108"/>
        <v>5.3445785775773531E-5</v>
      </c>
      <c r="I192" s="1">
        <f t="shared" si="108"/>
        <v>1.5376877060268901E-4</v>
      </c>
      <c r="J192" s="1">
        <f t="shared" si="108"/>
        <v>3.1876813915484507E-5</v>
      </c>
      <c r="K192" s="1">
        <f t="shared" si="108"/>
        <v>6.7890626909252326E-6</v>
      </c>
    </row>
    <row r="193" spans="1:11" x14ac:dyDescent="0.25">
      <c r="A193" s="5" t="s">
        <v>5</v>
      </c>
      <c r="B193" s="5" t="str">
        <f t="shared" si="98"/>
        <v>SPS4</v>
      </c>
      <c r="C193" s="5" t="s">
        <v>7</v>
      </c>
      <c r="D193" t="s">
        <v>628</v>
      </c>
      <c r="E193" t="s">
        <v>8</v>
      </c>
      <c r="F193" s="1">
        <f t="shared" ref="F193:K194" si="109">F187*IFERROR(F116/F84,0)</f>
        <v>4.6484041629830615E-2</v>
      </c>
      <c r="G193" s="1">
        <f t="shared" si="109"/>
        <v>2.7712573631537383E-5</v>
      </c>
      <c r="H193" s="1">
        <f t="shared" si="109"/>
        <v>5.3445785775773531E-5</v>
      </c>
      <c r="I193" s="1">
        <f t="shared" si="109"/>
        <v>1.5376877060268901E-4</v>
      </c>
      <c r="J193" s="1">
        <f t="shared" si="109"/>
        <v>1.5730188104081655E-5</v>
      </c>
      <c r="K193" s="1">
        <f t="shared" si="109"/>
        <v>2.0597540419610531E-6</v>
      </c>
    </row>
    <row r="194" spans="1:11" x14ac:dyDescent="0.25">
      <c r="A194" s="5" t="s">
        <v>5</v>
      </c>
      <c r="B194" s="5" t="str">
        <f t="shared" si="98"/>
        <v>SPS4</v>
      </c>
      <c r="C194" s="5" t="s">
        <v>7</v>
      </c>
      <c r="D194" t="s">
        <v>629</v>
      </c>
      <c r="E194" t="s">
        <v>8</v>
      </c>
      <c r="F194" s="1">
        <f t="shared" si="109"/>
        <v>0</v>
      </c>
      <c r="G194" s="1">
        <f t="shared" si="109"/>
        <v>0</v>
      </c>
      <c r="H194" s="1">
        <f t="shared" si="109"/>
        <v>0</v>
      </c>
      <c r="I194" s="1">
        <f t="shared" si="109"/>
        <v>0</v>
      </c>
      <c r="J194" s="1">
        <f t="shared" si="109"/>
        <v>1.6146625811402853E-5</v>
      </c>
      <c r="K194" s="1">
        <f t="shared" si="109"/>
        <v>4.7293086489641791E-6</v>
      </c>
    </row>
    <row r="195" spans="1:11" x14ac:dyDescent="0.25">
      <c r="A195" s="5" t="s">
        <v>5</v>
      </c>
      <c r="B195" s="5" t="str">
        <f t="shared" si="98"/>
        <v>SPS4</v>
      </c>
      <c r="C195" s="5" t="s">
        <v>7</v>
      </c>
      <c r="D195" t="s">
        <v>813</v>
      </c>
      <c r="E195" t="s">
        <v>8</v>
      </c>
      <c r="F195" s="1">
        <f>SUM(F196:F197)</f>
        <v>14.159848199000601</v>
      </c>
      <c r="G195" s="1">
        <f t="shared" ref="G195:K195" si="110">SUM(G196:G197)</f>
        <v>13.051647574241953</v>
      </c>
      <c r="H195" s="1">
        <f t="shared" si="110"/>
        <v>13.178289001079193</v>
      </c>
      <c r="I195" s="1">
        <f t="shared" si="110"/>
        <v>12.779634399579903</v>
      </c>
      <c r="J195" s="1">
        <f t="shared" si="110"/>
        <v>12.034791606630549</v>
      </c>
      <c r="K195" s="1">
        <f t="shared" si="110"/>
        <v>11.399073170216717</v>
      </c>
    </row>
    <row r="196" spans="1:11" x14ac:dyDescent="0.25">
      <c r="A196" s="5" t="s">
        <v>5</v>
      </c>
      <c r="B196" s="5" t="str">
        <f t="shared" si="98"/>
        <v>SPS4</v>
      </c>
      <c r="C196" s="5" t="s">
        <v>7</v>
      </c>
      <c r="D196" t="s">
        <v>155</v>
      </c>
      <c r="E196" t="s">
        <v>8</v>
      </c>
      <c r="F196" s="1">
        <f>'[1]Electricity and CHPs'!B$93-F197</f>
        <v>14.159848199000601</v>
      </c>
      <c r="G196" s="1">
        <f>'[1]Electricity and CHPs'!C$93-G197</f>
        <v>13.051647574241953</v>
      </c>
      <c r="H196" s="1">
        <f>'[1]Electricity and CHPs'!D$93-H197</f>
        <v>13.178289001079193</v>
      </c>
      <c r="I196" s="1">
        <f>'[1]Electricity and CHPs'!E$93-I197</f>
        <v>12.779634399579903</v>
      </c>
      <c r="J196" s="1">
        <f>'[1]Electricity and CHPs'!F$93-J197</f>
        <v>12.034791606630549</v>
      </c>
      <c r="K196" s="1">
        <f>'[1]Electricity and CHPs'!G$93-K197</f>
        <v>11.399073170216717</v>
      </c>
    </row>
    <row r="197" spans="1:11" x14ac:dyDescent="0.25">
      <c r="A197" s="5" t="s">
        <v>5</v>
      </c>
      <c r="B197" s="5" t="str">
        <f t="shared" si="98"/>
        <v>SPS4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0</v>
      </c>
    </row>
    <row r="198" spans="1:11" x14ac:dyDescent="0.25">
      <c r="A198" s="5" t="s">
        <v>5</v>
      </c>
      <c r="B198" s="5" t="str">
        <f t="shared" si="98"/>
        <v>SPS4</v>
      </c>
      <c r="C198" s="5" t="s">
        <v>7</v>
      </c>
      <c r="D198" t="s">
        <v>814</v>
      </c>
      <c r="E198" t="s">
        <v>8</v>
      </c>
      <c r="F198" s="1">
        <f>SUM(F199:F200)</f>
        <v>7.0799240995002997</v>
      </c>
      <c r="G198" s="1">
        <f t="shared" ref="G198:K198" si="111">SUM(G199:G200)</f>
        <v>6.5258237871209763</v>
      </c>
      <c r="H198" s="1">
        <f t="shared" si="111"/>
        <v>6.5891445005395965</v>
      </c>
      <c r="I198" s="1">
        <f t="shared" si="111"/>
        <v>6.3898171997899516</v>
      </c>
      <c r="J198" s="1">
        <f t="shared" si="111"/>
        <v>6.0173958033152743</v>
      </c>
      <c r="K198" s="1">
        <f t="shared" si="111"/>
        <v>5.6995365851083575</v>
      </c>
    </row>
    <row r="199" spans="1:11" x14ac:dyDescent="0.25">
      <c r="A199" s="5" t="s">
        <v>5</v>
      </c>
      <c r="B199" s="5" t="str">
        <f t="shared" si="98"/>
        <v>SPS4</v>
      </c>
      <c r="C199" s="5" t="s">
        <v>7</v>
      </c>
      <c r="D199" t="s">
        <v>157</v>
      </c>
      <c r="E199" t="s">
        <v>8</v>
      </c>
      <c r="F199" s="1">
        <f t="shared" ref="F199:K199" si="112">F196*F138/F131</f>
        <v>7.0799240995002997</v>
      </c>
      <c r="G199" s="1">
        <f t="shared" si="112"/>
        <v>6.5258237871209763</v>
      </c>
      <c r="H199" s="1">
        <f t="shared" si="112"/>
        <v>6.5891445005395965</v>
      </c>
      <c r="I199" s="1">
        <f t="shared" si="112"/>
        <v>6.3898171997899516</v>
      </c>
      <c r="J199" s="1">
        <f t="shared" si="112"/>
        <v>6.0173958033152743</v>
      </c>
      <c r="K199" s="1">
        <f t="shared" si="112"/>
        <v>5.6995365851083575</v>
      </c>
    </row>
    <row r="200" spans="1:11" x14ac:dyDescent="0.25">
      <c r="A200" s="5" t="s">
        <v>5</v>
      </c>
      <c r="B200" s="5" t="str">
        <f t="shared" si="98"/>
        <v>SPS4</v>
      </c>
      <c r="C200" s="5" t="s">
        <v>7</v>
      </c>
      <c r="D200" t="s">
        <v>158</v>
      </c>
      <c r="E200" t="s">
        <v>8</v>
      </c>
      <c r="F200" s="1">
        <f t="shared" ref="F200:K200" si="113">F197*IFERROR(F139/F132,0)</f>
        <v>0</v>
      </c>
      <c r="G200" s="1">
        <f t="shared" si="113"/>
        <v>0</v>
      </c>
      <c r="H200" s="1">
        <f t="shared" si="113"/>
        <v>0</v>
      </c>
      <c r="I200" s="1">
        <f t="shared" si="113"/>
        <v>0</v>
      </c>
      <c r="J200" s="1">
        <f t="shared" si="113"/>
        <v>0</v>
      </c>
      <c r="K200" s="1">
        <f t="shared" si="113"/>
        <v>0</v>
      </c>
    </row>
    <row r="201" spans="1:11" x14ac:dyDescent="0.25">
      <c r="A201" s="5" t="s">
        <v>5</v>
      </c>
      <c r="B201" s="5" t="str">
        <f t="shared" si="98"/>
        <v>SPS4</v>
      </c>
      <c r="C201" s="5" t="s">
        <v>7</v>
      </c>
      <c r="D201" t="s">
        <v>815</v>
      </c>
      <c r="E201" t="s">
        <v>8</v>
      </c>
      <c r="F201" s="1">
        <f>SUM(F202:F203)</f>
        <v>7.0799240995003014</v>
      </c>
      <c r="G201" s="1">
        <f t="shared" ref="G201:K201" si="114">SUM(G202:G203)</f>
        <v>6.5258237871209763</v>
      </c>
      <c r="H201" s="1">
        <f t="shared" si="114"/>
        <v>6.5891445005395965</v>
      </c>
      <c r="I201" s="1">
        <f t="shared" si="114"/>
        <v>6.3898171997899516</v>
      </c>
      <c r="J201" s="1">
        <f t="shared" si="114"/>
        <v>6.0173958033152743</v>
      </c>
      <c r="K201" s="1">
        <f t="shared" si="114"/>
        <v>5.6995365851083593</v>
      </c>
    </row>
    <row r="202" spans="1:11" x14ac:dyDescent="0.25">
      <c r="A202" s="5" t="s">
        <v>5</v>
      </c>
      <c r="B202" s="5" t="str">
        <f t="shared" si="98"/>
        <v>SPS4</v>
      </c>
      <c r="C202" s="5" t="s">
        <v>7</v>
      </c>
      <c r="D202" t="s">
        <v>159</v>
      </c>
      <c r="E202" t="s">
        <v>8</v>
      </c>
      <c r="F202" s="1">
        <f t="shared" ref="F202:K203" si="115">F196-F199</f>
        <v>7.0799240995003014</v>
      </c>
      <c r="G202" s="1">
        <f t="shared" si="115"/>
        <v>6.5258237871209763</v>
      </c>
      <c r="H202" s="1">
        <f t="shared" si="115"/>
        <v>6.5891445005395965</v>
      </c>
      <c r="I202" s="1">
        <f t="shared" si="115"/>
        <v>6.3898171997899516</v>
      </c>
      <c r="J202" s="1">
        <f t="shared" si="115"/>
        <v>6.0173958033152743</v>
      </c>
      <c r="K202" s="1">
        <f t="shared" si="115"/>
        <v>5.6995365851083593</v>
      </c>
    </row>
    <row r="203" spans="1:11" x14ac:dyDescent="0.25">
      <c r="A203" s="5" t="s">
        <v>5</v>
      </c>
      <c r="B203" s="5" t="str">
        <f t="shared" si="98"/>
        <v>SPS4</v>
      </c>
      <c r="C203" s="5" t="s">
        <v>7</v>
      </c>
      <c r="D203" t="s">
        <v>160</v>
      </c>
      <c r="E203" t="s">
        <v>8</v>
      </c>
      <c r="F203" s="1">
        <f t="shared" si="115"/>
        <v>0</v>
      </c>
      <c r="G203" s="1">
        <f t="shared" si="115"/>
        <v>0</v>
      </c>
      <c r="H203" s="1">
        <f t="shared" si="115"/>
        <v>0</v>
      </c>
      <c r="I203" s="1">
        <f t="shared" si="115"/>
        <v>0</v>
      </c>
      <c r="J203" s="1">
        <f t="shared" si="115"/>
        <v>0</v>
      </c>
      <c r="K203" s="1">
        <f t="shared" si="115"/>
        <v>0</v>
      </c>
    </row>
    <row r="204" spans="1:11" x14ac:dyDescent="0.25">
      <c r="A204" s="5" t="s">
        <v>5</v>
      </c>
      <c r="B204" s="5" t="str">
        <f t="shared" si="98"/>
        <v>SPS4</v>
      </c>
      <c r="C204" s="5" t="s">
        <v>7</v>
      </c>
      <c r="D204" t="s">
        <v>816</v>
      </c>
      <c r="E204" t="s">
        <v>8</v>
      </c>
      <c r="F204" s="1">
        <f>F205</f>
        <v>1.2783822245025807</v>
      </c>
      <c r="G204" s="1">
        <f t="shared" ref="G204:K204" si="116">G205</f>
        <v>0.20682394016472644</v>
      </c>
      <c r="H204" s="1">
        <f t="shared" si="116"/>
        <v>0.24778865535963426</v>
      </c>
      <c r="I204" s="1">
        <f t="shared" si="116"/>
        <v>1.8017986514626071E-2</v>
      </c>
      <c r="J204" s="1">
        <f t="shared" si="116"/>
        <v>1.1050047776505808E-2</v>
      </c>
      <c r="K204" s="1">
        <f t="shared" si="116"/>
        <v>7.3989473445145188E-3</v>
      </c>
    </row>
    <row r="205" spans="1:11" x14ac:dyDescent="0.25">
      <c r="A205" s="5" t="s">
        <v>5</v>
      </c>
      <c r="B205" s="5" t="str">
        <f t="shared" si="98"/>
        <v>SPS4</v>
      </c>
      <c r="C205" s="5" t="s">
        <v>7</v>
      </c>
      <c r="D205" t="s">
        <v>161</v>
      </c>
      <c r="E205" t="s">
        <v>8</v>
      </c>
      <c r="F205" s="1">
        <f>'[1]Electricity and CHPs'!B$92</f>
        <v>1.2783822245025807</v>
      </c>
      <c r="G205" s="1">
        <f>'[1]Electricity and CHPs'!C$92</f>
        <v>0.20682394016472644</v>
      </c>
      <c r="H205" s="1">
        <f>'[1]Electricity and CHPs'!D$92</f>
        <v>0.24778865535963426</v>
      </c>
      <c r="I205" s="1">
        <f>'[1]Electricity and CHPs'!E$92</f>
        <v>1.8017986514626071E-2</v>
      </c>
      <c r="J205" s="1">
        <f>'[1]Electricity and CHPs'!F$92</f>
        <v>1.1050047776505808E-2</v>
      </c>
      <c r="K205" s="1">
        <f>'[1]Electricity and CHPs'!G$92</f>
        <v>7.3989473445145188E-3</v>
      </c>
    </row>
    <row r="206" spans="1:11" x14ac:dyDescent="0.25">
      <c r="A206" s="5" t="s">
        <v>5</v>
      </c>
      <c r="B206" s="5" t="str">
        <f t="shared" si="98"/>
        <v>SPS4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17">+G207</f>
        <v>0</v>
      </c>
      <c r="H206" s="1">
        <f t="shared" si="117"/>
        <v>0</v>
      </c>
      <c r="I206" s="1">
        <f t="shared" si="117"/>
        <v>0</v>
      </c>
      <c r="J206" s="1">
        <f t="shared" si="117"/>
        <v>1.6923803459254805E-2</v>
      </c>
      <c r="K206" s="1">
        <f t="shared" si="117"/>
        <v>9.4716587343581918E-2</v>
      </c>
    </row>
    <row r="207" spans="1:11" x14ac:dyDescent="0.25">
      <c r="A207" s="5" t="s">
        <v>5</v>
      </c>
      <c r="B207" s="5" t="str">
        <f t="shared" si="98"/>
        <v>SPS4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1.6923803459254805E-2</v>
      </c>
      <c r="K207" s="1">
        <f>'[1]Electricity and CHPs'!G$96</f>
        <v>9.4716587343581918E-2</v>
      </c>
    </row>
    <row r="208" spans="1:11" x14ac:dyDescent="0.25">
      <c r="A208" s="5" t="s">
        <v>5</v>
      </c>
      <c r="B208" s="5" t="str">
        <f t="shared" si="98"/>
        <v>SPS4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5.8068452110467872</v>
      </c>
      <c r="G208" s="1">
        <f t="shared" ref="G208:K208" si="118">SUM(G209,G215,G217,G223,G225,G227,G229)</f>
        <v>12.285583743625367</v>
      </c>
      <c r="H208" s="1">
        <f t="shared" si="118"/>
        <v>10.171863575463314</v>
      </c>
      <c r="I208" s="1">
        <f t="shared" si="118"/>
        <v>13.368410458862458</v>
      </c>
      <c r="J208" s="1">
        <f t="shared" si="118"/>
        <v>15.010275539253005</v>
      </c>
      <c r="K208" s="1">
        <f t="shared" si="118"/>
        <v>17.567815778349299</v>
      </c>
    </row>
    <row r="209" spans="1:11" x14ac:dyDescent="0.25">
      <c r="A209" s="5" t="s">
        <v>5</v>
      </c>
      <c r="B209" s="5" t="str">
        <f t="shared" si="98"/>
        <v>SPS4</v>
      </c>
      <c r="C209" s="5" t="s">
        <v>7</v>
      </c>
      <c r="D209" t="s">
        <v>819</v>
      </c>
      <c r="E209" t="str">
        <f>E168</f>
        <v>PJ/yr.</v>
      </c>
      <c r="F209" s="1">
        <f>+F210</f>
        <v>2.6346739199642233</v>
      </c>
      <c r="G209" s="1">
        <f t="shared" ref="G209:K209" si="119">+G210</f>
        <v>1.2716496227341263</v>
      </c>
      <c r="H209" s="1">
        <f t="shared" si="119"/>
        <v>8.4607697008675809E-3</v>
      </c>
      <c r="I209" s="1">
        <f t="shared" si="119"/>
        <v>0.57507869451013816</v>
      </c>
      <c r="J209" s="1">
        <f t="shared" si="119"/>
        <v>5.693299687938181E-4</v>
      </c>
      <c r="K209" s="1">
        <f t="shared" si="119"/>
        <v>1.8160762222605207E-4</v>
      </c>
    </row>
    <row r="210" spans="1:11" x14ac:dyDescent="0.25">
      <c r="A210" s="5" t="s">
        <v>5</v>
      </c>
      <c r="B210" s="5" t="str">
        <f t="shared" si="98"/>
        <v>SPS4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2.6346739199642233</v>
      </c>
      <c r="G210" s="1">
        <f>'[1]Electricity and CHPs'!C$97+G214</f>
        <v>1.2716496227341263</v>
      </c>
      <c r="H210" s="1">
        <f>'[1]Electricity and CHPs'!D$97+H214</f>
        <v>8.4607697008675809E-3</v>
      </c>
      <c r="I210" s="1">
        <f>'[1]Electricity and CHPs'!E$97+I214</f>
        <v>0.57507869451013816</v>
      </c>
      <c r="J210" s="1">
        <f>'[1]Electricity and CHPs'!F$97+J214</f>
        <v>5.693299687938181E-4</v>
      </c>
      <c r="K210" s="1">
        <f>'[1]Electricity and CHPs'!G$97+K214</f>
        <v>1.8160762222605207E-4</v>
      </c>
    </row>
    <row r="211" spans="1:11" x14ac:dyDescent="0.25">
      <c r="A211" s="5"/>
      <c r="B211" s="5" t="str">
        <f t="shared" si="98"/>
        <v>SPS4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1.732899571811966</v>
      </c>
      <c r="G211" s="1">
        <f t="shared" ref="G211:K211" si="120">G212</f>
        <v>1.2715893639947291</v>
      </c>
      <c r="H211" s="1">
        <f t="shared" si="120"/>
        <v>8.0534004155507488E-3</v>
      </c>
      <c r="I211" s="1">
        <f t="shared" si="120"/>
        <v>0.57478816175284664</v>
      </c>
      <c r="J211" s="1">
        <f t="shared" si="120"/>
        <v>3.7406765365158193E-4</v>
      </c>
      <c r="K211" s="1">
        <f t="shared" si="120"/>
        <v>6.7980409057500163E-5</v>
      </c>
    </row>
    <row r="212" spans="1:11" x14ac:dyDescent="0.25">
      <c r="A212" s="5" t="s">
        <v>5</v>
      </c>
      <c r="B212" s="5" t="str">
        <f t="shared" si="98"/>
        <v>SPS4</v>
      </c>
      <c r="C212" s="5" t="s">
        <v>7</v>
      </c>
      <c r="D212" t="s">
        <v>820</v>
      </c>
      <c r="E212" t="str">
        <f>E169</f>
        <v>PJ/yr.</v>
      </c>
      <c r="F212" s="1">
        <f>F210-F214</f>
        <v>1.732899571811966</v>
      </c>
      <c r="G212" s="1">
        <f t="shared" ref="G212:K212" si="121">G210-G214</f>
        <v>1.2715893639947291</v>
      </c>
      <c r="H212" s="1">
        <f t="shared" si="121"/>
        <v>8.0534004155507488E-3</v>
      </c>
      <c r="I212" s="1">
        <f t="shared" si="121"/>
        <v>0.57478816175284664</v>
      </c>
      <c r="J212" s="1">
        <f t="shared" si="121"/>
        <v>3.7406765365158193E-4</v>
      </c>
      <c r="K212" s="1">
        <f t="shared" si="121"/>
        <v>6.7980409057500163E-5</v>
      </c>
    </row>
    <row r="213" spans="1:11" x14ac:dyDescent="0.25">
      <c r="A213" s="5"/>
      <c r="B213" s="5" t="str">
        <f t="shared" si="98"/>
        <v>SPS4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0.90177434815225721</v>
      </c>
      <c r="G213" s="1">
        <f t="shared" ref="G213:K213" si="122">G214</f>
        <v>6.0258739397119891E-5</v>
      </c>
      <c r="H213" s="1">
        <f t="shared" si="122"/>
        <v>4.0736928531683291E-4</v>
      </c>
      <c r="I213" s="1">
        <f t="shared" si="122"/>
        <v>2.905327572914853E-4</v>
      </c>
      <c r="J213" s="1">
        <f t="shared" si="122"/>
        <v>1.9526231514223615E-4</v>
      </c>
      <c r="K213" s="1">
        <f t="shared" si="122"/>
        <v>1.136272131685519E-4</v>
      </c>
    </row>
    <row r="214" spans="1:11" x14ac:dyDescent="0.25">
      <c r="A214" s="5" t="s">
        <v>5</v>
      </c>
      <c r="B214" s="5" t="str">
        <f t="shared" si="98"/>
        <v>SPS4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0.90177434815225721</v>
      </c>
      <c r="G214" s="1">
        <f>'[1]Electricity and CHPs'!C$98</f>
        <v>6.0258739397119891E-5</v>
      </c>
      <c r="H214" s="1">
        <f>'[1]Electricity and CHPs'!D$98</f>
        <v>4.0736928531683291E-4</v>
      </c>
      <c r="I214" s="1">
        <f>'[1]Electricity and CHPs'!E$98</f>
        <v>2.905327572914853E-4</v>
      </c>
      <c r="J214" s="1">
        <f>'[1]Electricity and CHPs'!F$98</f>
        <v>1.9526231514223615E-4</v>
      </c>
      <c r="K214" s="1">
        <f>'[1]Electricity and CHPs'!G$98</f>
        <v>1.136272131685519E-4</v>
      </c>
    </row>
    <row r="215" spans="1:11" x14ac:dyDescent="0.25">
      <c r="A215" s="5" t="s">
        <v>5</v>
      </c>
      <c r="B215" s="5" t="str">
        <f t="shared" si="98"/>
        <v>SPS4</v>
      </c>
      <c r="C215" s="5" t="s">
        <v>7</v>
      </c>
      <c r="D215" t="s">
        <v>825</v>
      </c>
      <c r="E215" t="str">
        <f>E170</f>
        <v>PJ/yr.</v>
      </c>
      <c r="F215" s="1">
        <f>+F216</f>
        <v>1.4500030857835837</v>
      </c>
      <c r="G215" s="1">
        <f t="shared" ref="G215:K215" si="123">+G216</f>
        <v>3.8017358422193577</v>
      </c>
      <c r="H215" s="1">
        <f t="shared" si="123"/>
        <v>3.8007227666134371</v>
      </c>
      <c r="I215" s="1">
        <f t="shared" si="123"/>
        <v>1.0482700908780695</v>
      </c>
      <c r="J215" s="1">
        <f t="shared" si="123"/>
        <v>0</v>
      </c>
      <c r="K215" s="1">
        <f t="shared" si="123"/>
        <v>0</v>
      </c>
    </row>
    <row r="216" spans="1:11" x14ac:dyDescent="0.25">
      <c r="A216" s="5" t="s">
        <v>5</v>
      </c>
      <c r="B216" s="5" t="str">
        <f t="shared" si="98"/>
        <v>SPS4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1.4500030857835837</v>
      </c>
      <c r="G216" s="1">
        <f>'[1]Electricity and CHPs'!C$99</f>
        <v>3.8017358422193577</v>
      </c>
      <c r="H216" s="1">
        <f>'[1]Electricity and CHPs'!D$99</f>
        <v>3.8007227666134371</v>
      </c>
      <c r="I216" s="1">
        <f>'[1]Electricity and CHPs'!E$99</f>
        <v>1.0482700908780695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tr">
        <f t="shared" si="98"/>
        <v>SPS4</v>
      </c>
      <c r="C217" s="5" t="s">
        <v>7</v>
      </c>
      <c r="D217" t="s">
        <v>826</v>
      </c>
      <c r="E217" t="str">
        <f>E171</f>
        <v>PJ/yr.</v>
      </c>
      <c r="F217" s="1">
        <f>+F218</f>
        <v>0.18406860031035921</v>
      </c>
      <c r="G217" s="1">
        <f t="shared" ref="G217:K217" si="124">+G218</f>
        <v>2.0163612318194595</v>
      </c>
      <c r="H217" s="1">
        <f t="shared" si="124"/>
        <v>4.8468271375182973E-4</v>
      </c>
      <c r="I217" s="1">
        <f t="shared" si="124"/>
        <v>2.0082985295072589E-4</v>
      </c>
      <c r="J217" s="1">
        <f t="shared" si="124"/>
        <v>1.0808568922339398E-4</v>
      </c>
      <c r="K217" s="1">
        <f t="shared" si="124"/>
        <v>3.2612672102181112E-5</v>
      </c>
    </row>
    <row r="218" spans="1:11" x14ac:dyDescent="0.25">
      <c r="A218" s="5" t="s">
        <v>5</v>
      </c>
      <c r="B218" s="5" t="str">
        <f t="shared" si="98"/>
        <v>SPS4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0.18406860031035921</v>
      </c>
      <c r="G218" s="1">
        <f>'[1]Electricity and CHPs'!C$100</f>
        <v>2.0163612318194595</v>
      </c>
      <c r="H218" s="1">
        <f>'[1]Electricity and CHPs'!D$100</f>
        <v>4.8468271375182973E-4</v>
      </c>
      <c r="I218" s="1">
        <f>'[1]Electricity and CHPs'!E$100</f>
        <v>2.0082985295072589E-4</v>
      </c>
      <c r="J218" s="1">
        <f>'[1]Electricity and CHPs'!F$100</f>
        <v>1.0808568922339398E-4</v>
      </c>
      <c r="K218" s="1">
        <f>'[1]Electricity and CHPs'!G$100</f>
        <v>3.2612672102181112E-5</v>
      </c>
    </row>
    <row r="219" spans="1:11" x14ac:dyDescent="0.25">
      <c r="A219" s="5"/>
      <c r="B219" s="5" t="str">
        <f t="shared" si="98"/>
        <v>SPS4</v>
      </c>
      <c r="C219" s="5" t="s">
        <v>7</v>
      </c>
      <c r="D219" t="s">
        <v>827</v>
      </c>
      <c r="E219" t="str">
        <f>E171</f>
        <v>PJ/yr.</v>
      </c>
      <c r="F219" s="1">
        <f>F220</f>
        <v>0.18406860031035921</v>
      </c>
      <c r="G219" s="1">
        <f t="shared" ref="G219:K219" si="125">G220</f>
        <v>2.0163612318194595</v>
      </c>
      <c r="H219" s="1">
        <f t="shared" si="125"/>
        <v>4.8468271375182973E-4</v>
      </c>
      <c r="I219" s="1">
        <f t="shared" si="125"/>
        <v>2.0082985295072589E-4</v>
      </c>
      <c r="J219" s="1">
        <f t="shared" si="125"/>
        <v>1.0808568922339398E-4</v>
      </c>
      <c r="K219" s="1">
        <f t="shared" si="125"/>
        <v>3.2612672102181112E-5</v>
      </c>
    </row>
    <row r="220" spans="1:11" x14ac:dyDescent="0.25">
      <c r="A220" s="5" t="s">
        <v>5</v>
      </c>
      <c r="B220" s="5" t="str">
        <f t="shared" si="98"/>
        <v>SPS4</v>
      </c>
      <c r="C220" s="5" t="s">
        <v>7</v>
      </c>
      <c r="D220" t="s">
        <v>518</v>
      </c>
      <c r="E220" t="str">
        <f>E172</f>
        <v>PJ/yr.</v>
      </c>
      <c r="F220" s="1">
        <f>F218-F222</f>
        <v>0.18406860031035921</v>
      </c>
      <c r="G220" s="1">
        <f t="shared" ref="G220:K220" si="126">G218-G222</f>
        <v>2.0163612318194595</v>
      </c>
      <c r="H220" s="1">
        <f t="shared" si="126"/>
        <v>4.8468271375182973E-4</v>
      </c>
      <c r="I220" s="1">
        <f t="shared" si="126"/>
        <v>2.0082985295072589E-4</v>
      </c>
      <c r="J220" s="1">
        <f t="shared" si="126"/>
        <v>1.0808568922339398E-4</v>
      </c>
      <c r="K220" s="1">
        <f t="shared" si="126"/>
        <v>3.2612672102181112E-5</v>
      </c>
    </row>
    <row r="221" spans="1:11" x14ac:dyDescent="0.25">
      <c r="A221" s="5"/>
      <c r="B221" s="5" t="str">
        <f t="shared" si="98"/>
        <v>SPS4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27">G222</f>
        <v>0</v>
      </c>
      <c r="H221" s="1">
        <f t="shared" si="127"/>
        <v>0</v>
      </c>
      <c r="I221" s="1">
        <f t="shared" si="127"/>
        <v>0</v>
      </c>
      <c r="J221" s="1">
        <f t="shared" si="127"/>
        <v>0</v>
      </c>
      <c r="K221" s="1">
        <f t="shared" si="127"/>
        <v>0</v>
      </c>
    </row>
    <row r="222" spans="1:11" x14ac:dyDescent="0.25">
      <c r="A222" s="5" t="s">
        <v>5</v>
      </c>
      <c r="B222" s="5" t="str">
        <f t="shared" si="98"/>
        <v>SPS4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tr">
        <f t="shared" si="98"/>
        <v>SPS4</v>
      </c>
      <c r="C223" s="5" t="s">
        <v>7</v>
      </c>
      <c r="D223" t="s">
        <v>829</v>
      </c>
      <c r="E223" t="str">
        <f>E172</f>
        <v>PJ/yr.</v>
      </c>
      <c r="F223" s="1">
        <f>+F224</f>
        <v>1.5380996049886206</v>
      </c>
      <c r="G223" s="1">
        <f t="shared" ref="G223:K223" si="128">+G224</f>
        <v>1.3881343211872947</v>
      </c>
      <c r="H223" s="1">
        <f t="shared" si="128"/>
        <v>1.1901522151875938</v>
      </c>
      <c r="I223" s="1">
        <f t="shared" si="128"/>
        <v>0.92091751758345919</v>
      </c>
      <c r="J223" s="1">
        <f t="shared" si="128"/>
        <v>0.55138951008674575</v>
      </c>
      <c r="K223" s="1">
        <f t="shared" si="128"/>
        <v>0.33013840098906067</v>
      </c>
    </row>
    <row r="224" spans="1:11" x14ac:dyDescent="0.25">
      <c r="A224" s="5" t="s">
        <v>5</v>
      </c>
      <c r="B224" s="5" t="str">
        <f t="shared" si="98"/>
        <v>SPS4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1.5380996049886206</v>
      </c>
      <c r="G224" s="1">
        <f>'[1]Electricity and CHPs'!C$101</f>
        <v>1.3881343211872947</v>
      </c>
      <c r="H224" s="1">
        <f>'[1]Electricity and CHPs'!D$101</f>
        <v>1.1901522151875938</v>
      </c>
      <c r="I224" s="1">
        <f>'[1]Electricity and CHPs'!E$101</f>
        <v>0.92091751758345919</v>
      </c>
      <c r="J224" s="1">
        <f>'[1]Electricity and CHPs'!F$101</f>
        <v>0.55138951008674575</v>
      </c>
      <c r="K224" s="1">
        <f>'[1]Electricity and CHPs'!G$101</f>
        <v>0.33013840098906067</v>
      </c>
    </row>
    <row r="225" spans="1:11" x14ac:dyDescent="0.25">
      <c r="A225" s="5" t="s">
        <v>5</v>
      </c>
      <c r="B225" s="5" t="str">
        <f t="shared" si="98"/>
        <v>SPS4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29">+G226</f>
        <v>0</v>
      </c>
      <c r="H225" s="1">
        <f t="shared" si="129"/>
        <v>0</v>
      </c>
      <c r="I225" s="1">
        <f t="shared" si="129"/>
        <v>1.774501054923592E-5</v>
      </c>
      <c r="J225" s="1">
        <f t="shared" si="129"/>
        <v>2.0816057202165292E-5</v>
      </c>
      <c r="K225" s="1">
        <f t="shared" si="129"/>
        <v>2.1028340592726036E-5</v>
      </c>
    </row>
    <row r="226" spans="1:11" x14ac:dyDescent="0.25">
      <c r="A226" s="5" t="s">
        <v>5</v>
      </c>
      <c r="B226" s="5" t="str">
        <f t="shared" si="98"/>
        <v>SPS4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1.774501054923592E-5</v>
      </c>
      <c r="J226" s="1">
        <f>'[1]Electricity and CHPs'!F$102</f>
        <v>2.0816057202165292E-5</v>
      </c>
      <c r="K226" s="1">
        <f>'[1]Electricity and CHPs'!G$102</f>
        <v>2.1028340592726036E-5</v>
      </c>
    </row>
    <row r="227" spans="1:11" x14ac:dyDescent="0.25">
      <c r="A227" s="5" t="s">
        <v>5</v>
      </c>
      <c r="B227" s="5" t="str">
        <f t="shared" si="98"/>
        <v>SPS4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0">+G228</f>
        <v>0</v>
      </c>
      <c r="H227" s="1">
        <f t="shared" si="130"/>
        <v>0</v>
      </c>
      <c r="I227" s="1">
        <f t="shared" si="130"/>
        <v>0</v>
      </c>
      <c r="J227" s="1">
        <f t="shared" si="130"/>
        <v>3.7097225458447993E-5</v>
      </c>
      <c r="K227" s="1">
        <f t="shared" si="130"/>
        <v>3.0025276760151741E-5</v>
      </c>
    </row>
    <row r="228" spans="1:11" x14ac:dyDescent="0.25">
      <c r="A228" s="5" t="s">
        <v>5</v>
      </c>
      <c r="B228" s="5" t="str">
        <f t="shared" si="98"/>
        <v>SPS4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3.7097225458447993E-5</v>
      </c>
      <c r="K228" s="1">
        <f>'[1]Electricity and CHPs'!G$90</f>
        <v>3.0025276760151741E-5</v>
      </c>
    </row>
    <row r="229" spans="1:11" x14ac:dyDescent="0.25">
      <c r="A229" s="5" t="s">
        <v>5</v>
      </c>
      <c r="B229" s="5" t="str">
        <f t="shared" si="98"/>
        <v>SPS4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31">+G230</f>
        <v>3.8077027256651288</v>
      </c>
      <c r="H229" s="1">
        <f t="shared" si="131"/>
        <v>5.1720431412476646</v>
      </c>
      <c r="I229" s="1">
        <f t="shared" si="131"/>
        <v>10.823925581027291</v>
      </c>
      <c r="J229" s="1">
        <f t="shared" si="131"/>
        <v>14.458150700225582</v>
      </c>
      <c r="K229" s="1">
        <f t="shared" si="131"/>
        <v>17.237412103448559</v>
      </c>
    </row>
    <row r="230" spans="1:11" x14ac:dyDescent="0.25">
      <c r="A230" s="5" t="s">
        <v>5</v>
      </c>
      <c r="B230" s="5" t="str">
        <f t="shared" si="98"/>
        <v>SPS4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3.8077027256651288</v>
      </c>
      <c r="H230" s="1">
        <f>'[1]Electricity and CHPs'!D$123</f>
        <v>5.1720431412476646</v>
      </c>
      <c r="I230" s="1">
        <f>'[1]Electricity and CHPs'!E$123</f>
        <v>10.823925581027291</v>
      </c>
      <c r="J230" s="1">
        <f>'[1]Electricity and CHPs'!F$123</f>
        <v>14.458150700225582</v>
      </c>
      <c r="K230" s="1">
        <f>'[1]Electricity and CHPs'!G$123</f>
        <v>17.237412103448559</v>
      </c>
    </row>
    <row r="231" spans="1:11" x14ac:dyDescent="0.25">
      <c r="A231" s="5" t="s">
        <v>5</v>
      </c>
      <c r="B231" s="5" t="str">
        <f t="shared" si="98"/>
        <v>SPS4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6.5254870018342022</v>
      </c>
      <c r="G231" s="1">
        <f t="shared" ref="G231:K231" si="132">SUM(G232,G238,G271,G280,G286)</f>
        <v>8.1850266137575236</v>
      </c>
      <c r="H231" s="1">
        <f t="shared" si="132"/>
        <v>7.5356572526600658</v>
      </c>
      <c r="I231" s="1">
        <f t="shared" si="132"/>
        <v>9.1932601565230012</v>
      </c>
      <c r="J231" s="1">
        <f t="shared" si="132"/>
        <v>47.661125699890441</v>
      </c>
      <c r="K231" s="1">
        <f t="shared" si="132"/>
        <v>57.061183591518194</v>
      </c>
    </row>
    <row r="232" spans="1:11" x14ac:dyDescent="0.25">
      <c r="A232" s="5" t="s">
        <v>5</v>
      </c>
      <c r="B232" s="5" t="str">
        <f t="shared" si="98"/>
        <v>SPS4</v>
      </c>
      <c r="C232" s="5" t="s">
        <v>7</v>
      </c>
      <c r="D232" t="s">
        <v>835</v>
      </c>
      <c r="E232" t="str">
        <f>E169</f>
        <v>PJ/yr.</v>
      </c>
      <c r="F232" s="1">
        <f>+F233</f>
        <v>0.92933032099954038</v>
      </c>
      <c r="G232" s="1">
        <f t="shared" ref="G232:K232" si="133">+G233</f>
        <v>2.07060603227966</v>
      </c>
      <c r="H232" s="1">
        <f t="shared" si="133"/>
        <v>0.64408604060841235</v>
      </c>
      <c r="I232" s="1">
        <f t="shared" si="133"/>
        <v>1.3156405144628802</v>
      </c>
      <c r="J232" s="1">
        <f t="shared" si="133"/>
        <v>5.5574178558744781E-2</v>
      </c>
      <c r="K232" s="1">
        <f t="shared" si="133"/>
        <v>8.0838714060464598E-2</v>
      </c>
    </row>
    <row r="233" spans="1:11" x14ac:dyDescent="0.25">
      <c r="A233" s="5" t="s">
        <v>5</v>
      </c>
      <c r="B233" s="5" t="str">
        <f t="shared" si="98"/>
        <v>SPS4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0.92933032099954038</v>
      </c>
      <c r="G233" s="1">
        <f>'[1]Electricity and CHPs'!C$104</f>
        <v>2.07060603227966</v>
      </c>
      <c r="H233" s="1">
        <f>'[1]Electricity and CHPs'!D$104</f>
        <v>0.64408604060841235</v>
      </c>
      <c r="I233" s="1">
        <f>'[1]Electricity and CHPs'!E$104</f>
        <v>1.3156405144628802</v>
      </c>
      <c r="J233" s="1">
        <f>'[1]Electricity and CHPs'!F$104</f>
        <v>5.5574178558744781E-2</v>
      </c>
      <c r="K233" s="1">
        <f>'[1]Electricity and CHPs'!G$104</f>
        <v>8.0838714060464598E-2</v>
      </c>
    </row>
    <row r="234" spans="1:11" x14ac:dyDescent="0.25">
      <c r="A234" s="5"/>
      <c r="B234" s="5" t="str">
        <f t="shared" si="98"/>
        <v>SPS4</v>
      </c>
      <c r="C234" s="5" t="s">
        <v>7</v>
      </c>
      <c r="D234" t="s">
        <v>836</v>
      </c>
      <c r="E234" t="str">
        <f>E169</f>
        <v>PJ/yr.</v>
      </c>
      <c r="F234" s="1">
        <f>F235</f>
        <v>0.92933032099954038</v>
      </c>
      <c r="G234" s="1">
        <f t="shared" ref="G234:K234" si="134">G235</f>
        <v>2.07060603227966</v>
      </c>
      <c r="H234" s="1">
        <f t="shared" si="134"/>
        <v>0.64408604060841235</v>
      </c>
      <c r="I234" s="1">
        <f t="shared" si="134"/>
        <v>1.3156405144628802</v>
      </c>
      <c r="J234" s="1">
        <f t="shared" si="134"/>
        <v>5.5574178558744781E-2</v>
      </c>
      <c r="K234" s="1">
        <f t="shared" si="134"/>
        <v>8.0838714060464598E-2</v>
      </c>
    </row>
    <row r="235" spans="1:11" x14ac:dyDescent="0.25">
      <c r="A235" s="5" t="s">
        <v>5</v>
      </c>
      <c r="B235" s="5" t="str">
        <f t="shared" si="98"/>
        <v>SPS4</v>
      </c>
      <c r="C235" s="5" t="s">
        <v>7</v>
      </c>
      <c r="D235" t="s">
        <v>519</v>
      </c>
      <c r="E235" t="str">
        <f>E170</f>
        <v>PJ/yr.</v>
      </c>
      <c r="F235" s="1">
        <f>F233-F237</f>
        <v>0.92933032099954038</v>
      </c>
      <c r="G235" s="1">
        <f t="shared" ref="G235:K235" si="135">G233-G237</f>
        <v>2.07060603227966</v>
      </c>
      <c r="H235" s="1">
        <f t="shared" si="135"/>
        <v>0.64408604060841235</v>
      </c>
      <c r="I235" s="1">
        <f t="shared" si="135"/>
        <v>1.3156405144628802</v>
      </c>
      <c r="J235" s="1">
        <f t="shared" si="135"/>
        <v>5.5574178558744781E-2</v>
      </c>
      <c r="K235" s="1">
        <f t="shared" si="135"/>
        <v>8.0838714060464598E-2</v>
      </c>
    </row>
    <row r="236" spans="1:11" x14ac:dyDescent="0.25">
      <c r="A236" s="5"/>
      <c r="B236" s="5" t="str">
        <f t="shared" si="98"/>
        <v>SPS4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36">G237</f>
        <v>0</v>
      </c>
      <c r="H236" s="1">
        <f t="shared" si="136"/>
        <v>0</v>
      </c>
      <c r="I236" s="1">
        <f t="shared" si="136"/>
        <v>0</v>
      </c>
      <c r="J236" s="1">
        <f t="shared" si="136"/>
        <v>0</v>
      </c>
      <c r="K236" s="1">
        <f t="shared" si="136"/>
        <v>0</v>
      </c>
    </row>
    <row r="237" spans="1:11" x14ac:dyDescent="0.25">
      <c r="A237" s="5" t="s">
        <v>5</v>
      </c>
      <c r="B237" s="5" t="str">
        <f t="shared" si="98"/>
        <v>SPS4</v>
      </c>
      <c r="C237" s="5" t="s">
        <v>7</v>
      </c>
      <c r="D237" t="s">
        <v>543</v>
      </c>
      <c r="E237" t="str">
        <f>E171</f>
        <v>PJ/yr.</v>
      </c>
      <c r="F237" s="1">
        <f t="shared" ref="F237:K237" si="137">F233*IFERROR(F79/F75,0)</f>
        <v>0</v>
      </c>
      <c r="G237" s="1">
        <f t="shared" si="137"/>
        <v>0</v>
      </c>
      <c r="H237" s="1">
        <f t="shared" si="137"/>
        <v>0</v>
      </c>
      <c r="I237" s="1">
        <f t="shared" si="137"/>
        <v>0</v>
      </c>
      <c r="J237" s="1">
        <f t="shared" si="137"/>
        <v>0</v>
      </c>
      <c r="K237" s="1">
        <f t="shared" si="137"/>
        <v>0</v>
      </c>
    </row>
    <row r="238" spans="1:11" x14ac:dyDescent="0.25">
      <c r="A238" s="5" t="s">
        <v>5</v>
      </c>
      <c r="B238" s="5" t="str">
        <f t="shared" si="98"/>
        <v>SPS4</v>
      </c>
      <c r="C238" s="5" t="s">
        <v>7</v>
      </c>
      <c r="D238" t="s">
        <v>838</v>
      </c>
      <c r="E238" t="str">
        <f>E171</f>
        <v>PJ/yr.</v>
      </c>
      <c r="F238" s="1">
        <f>SUM(F239:F248)</f>
        <v>3.0015590400411383</v>
      </c>
      <c r="G238" s="1">
        <f t="shared" ref="G238:K238" si="138">SUM(G239:G248)</f>
        <v>2.4418759170347917</v>
      </c>
      <c r="H238" s="1">
        <f t="shared" si="138"/>
        <v>1.5772018579463076</v>
      </c>
      <c r="I238" s="1">
        <f t="shared" si="138"/>
        <v>2.1596042338046599</v>
      </c>
      <c r="J238" s="1">
        <f t="shared" si="138"/>
        <v>36.326695445639061</v>
      </c>
      <c r="K238" s="1">
        <f t="shared" si="138"/>
        <v>43.40087364470574</v>
      </c>
    </row>
    <row r="239" spans="1:11" x14ac:dyDescent="0.25">
      <c r="A239" s="5" t="s">
        <v>5</v>
      </c>
      <c r="B239" s="5" t="str">
        <f t="shared" si="98"/>
        <v>SPS4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0.7679939993138073</v>
      </c>
      <c r="G239" s="1">
        <f>'[1]Electricity and CHPs_IN'!C$39*0.75-G86-G240</f>
        <v>0.10376195175988573</v>
      </c>
      <c r="H239" s="1">
        <f>'[1]Electricity and CHPs_IN'!D$39*0.75-H86-H240</f>
        <v>6.5609870451434363E-2</v>
      </c>
      <c r="I239" s="1">
        <f>'[1]Electricity and CHPs_IN'!E$39*0.75-I86-I240</f>
        <v>0.34341484061505834</v>
      </c>
      <c r="J239" s="1">
        <f>'[1]Electricity and CHPs'!F$103-J240</f>
        <v>5.8587026011682898E-2</v>
      </c>
      <c r="K239" s="1">
        <f>'[1]Electricity and CHPs'!G$103-K240</f>
        <v>1.5798386519070631E-2</v>
      </c>
    </row>
    <row r="240" spans="1:11" x14ac:dyDescent="0.25">
      <c r="A240" s="5" t="s">
        <v>5</v>
      </c>
      <c r="B240" s="5" t="str">
        <f t="shared" si="98"/>
        <v>SPS4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25">
      <c r="A241" s="5" t="s">
        <v>5</v>
      </c>
      <c r="B241" s="5" t="str">
        <f t="shared" si="98"/>
        <v>SPS4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1.69691494264468E-4</v>
      </c>
      <c r="J241" s="1">
        <f>'[1]Electricity and CHPs'!F$107</f>
        <v>8.3715359355120828E-4</v>
      </c>
      <c r="K241" s="1">
        <f>'[1]Electricity and CHPs'!G$107</f>
        <v>5.7954099313674409E-4</v>
      </c>
    </row>
    <row r="242" spans="1:11" x14ac:dyDescent="0.25">
      <c r="A242" s="5" t="s">
        <v>5</v>
      </c>
      <c r="B242" s="5" t="str">
        <f t="shared" si="98"/>
        <v>SPS4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3.448676089902443E-2</v>
      </c>
      <c r="G242" s="1">
        <f>'[1]Electricity and CHPs'!C$109</f>
        <v>5.4781483417399943E-3</v>
      </c>
      <c r="H242" s="1">
        <f>'[1]Electricity and CHPs'!D$109</f>
        <v>8.2806221739300176E-3</v>
      </c>
      <c r="I242" s="1">
        <f>'[1]Electricity and CHPs'!E$109</f>
        <v>1.6850910292602814E-2</v>
      </c>
      <c r="J242" s="1">
        <f>'[1]Electricity and CHPs'!F$109</f>
        <v>2.8555105644717603E-2</v>
      </c>
      <c r="K242" s="1">
        <f>'[1]Electricity and CHPs'!G$109</f>
        <v>1.9430445810344029E-2</v>
      </c>
    </row>
    <row r="243" spans="1:11" x14ac:dyDescent="0.25">
      <c r="A243" s="5" t="s">
        <v>5</v>
      </c>
      <c r="B243" s="5" t="str">
        <f t="shared" si="98"/>
        <v>SPS4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tr">
        <f t="shared" ref="B244:B307" si="139">B243</f>
        <v>SPS4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8.2189632509961516E-2</v>
      </c>
      <c r="G244" s="1">
        <f>'[1]Electricity and CHPs'!C$112</f>
        <v>4.0909185275329347E-3</v>
      </c>
      <c r="H244" s="1">
        <f>'[1]Electricity and CHPs'!D$112</f>
        <v>6.9068456263758956E-3</v>
      </c>
      <c r="I244" s="1">
        <f>'[1]Electricity and CHPs'!E$112</f>
        <v>0.4608024439372575</v>
      </c>
      <c r="J244" s="1">
        <f>'[1]Electricity and CHPs'!F$112</f>
        <v>35.192418505521317</v>
      </c>
      <c r="K244" s="1">
        <f>'[1]Electricity and CHPs'!G$112</f>
        <v>42.356670071132612</v>
      </c>
    </row>
    <row r="245" spans="1:11" x14ac:dyDescent="0.25">
      <c r="A245" s="5" t="s">
        <v>5</v>
      </c>
      <c r="B245" s="5" t="str">
        <f t="shared" si="139"/>
        <v>SPS4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tr">
        <f t="shared" si="139"/>
        <v>SPS4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1.4243098968046417</v>
      </c>
      <c r="G246" s="1">
        <f>'[1]Electricity and CHPs'!C$115</f>
        <v>1.5783326282880454</v>
      </c>
      <c r="H246" s="1">
        <f>'[1]Electricity and CHPs'!D$115</f>
        <v>1.4829300180654492</v>
      </c>
      <c r="I246" s="1">
        <f>'[1]Electricity and CHPs'!E$115</f>
        <v>1.3239257011659689</v>
      </c>
      <c r="J246" s="1">
        <f>'[1]Electricity and CHPs'!F$115</f>
        <v>1.0059194961993136</v>
      </c>
      <c r="K246" s="1">
        <f>'[1]Electricity and CHPs'!G$115</f>
        <v>1.0059183546857073</v>
      </c>
    </row>
    <row r="247" spans="1:11" x14ac:dyDescent="0.25">
      <c r="A247" s="5" t="s">
        <v>5</v>
      </c>
      <c r="B247" s="5" t="str">
        <f t="shared" si="139"/>
        <v>SPS4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0.69257875051370332</v>
      </c>
      <c r="G247" s="1">
        <f>'[1]Electricity and CHPs'!C$116</f>
        <v>0.75021227011758773</v>
      </c>
      <c r="H247" s="1">
        <f>'[1]Electricity and CHPs'!D$116</f>
        <v>1.3474501629118139E-2</v>
      </c>
      <c r="I247" s="1">
        <f>'[1]Electricity and CHPs'!E$116</f>
        <v>1.4389118351624925E-2</v>
      </c>
      <c r="J247" s="1">
        <f>'[1]Electricity and CHPs'!F$116</f>
        <v>3.8387155893263726E-2</v>
      </c>
      <c r="K247" s="1">
        <f>'[1]Electricity and CHPs'!G$116</f>
        <v>5.3700253677756312E-4</v>
      </c>
    </row>
    <row r="248" spans="1:11" x14ac:dyDescent="0.25">
      <c r="A248" s="5" t="s">
        <v>5</v>
      </c>
      <c r="B248" s="5" t="str">
        <f t="shared" si="139"/>
        <v>SPS4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5.1527947882930712E-5</v>
      </c>
      <c r="J248" s="1">
        <f>'[1]Electricity and CHPs'!F$118</f>
        <v>1.991002775220557E-3</v>
      </c>
      <c r="K248" s="1">
        <f>'[1]Electricity and CHPs'!G$118</f>
        <v>1.9398430280936209E-3</v>
      </c>
    </row>
    <row r="249" spans="1:11" x14ac:dyDescent="0.25">
      <c r="A249" s="5" t="s">
        <v>5</v>
      </c>
      <c r="B249" s="5" t="str">
        <f t="shared" si="139"/>
        <v>SPS4</v>
      </c>
      <c r="C249" s="5" t="s">
        <v>7</v>
      </c>
      <c r="D249" t="s">
        <v>839</v>
      </c>
      <c r="E249" t="str">
        <f>E172</f>
        <v>PJ/yr.</v>
      </c>
      <c r="F249" s="1">
        <f>SUM(F250:F259)</f>
        <v>1.5365977138447415</v>
      </c>
      <c r="G249" s="1">
        <f t="shared" ref="G249:K249" si="140">SUM(G250:G259)</f>
        <v>0.83709416356019806</v>
      </c>
      <c r="H249" s="1">
        <f t="shared" si="140"/>
        <v>9.1167664372366813E-2</v>
      </c>
      <c r="I249" s="1">
        <f t="shared" si="140"/>
        <v>0.81083078846124168</v>
      </c>
      <c r="J249" s="1">
        <f t="shared" si="140"/>
        <v>35.197559186073413</v>
      </c>
      <c r="K249" s="1">
        <f t="shared" si="140"/>
        <v>42.197608901298473</v>
      </c>
    </row>
    <row r="250" spans="1:11" x14ac:dyDescent="0.25">
      <c r="A250" s="5" t="s">
        <v>5</v>
      </c>
      <c r="B250" s="5" t="str">
        <f t="shared" si="139"/>
        <v>SPS4</v>
      </c>
      <c r="C250" s="5" t="s">
        <v>7</v>
      </c>
      <c r="D250" t="s">
        <v>569</v>
      </c>
      <c r="E250" t="str">
        <f>E172</f>
        <v>PJ/yr.</v>
      </c>
      <c r="F250" s="1">
        <f t="shared" ref="F250:K252" si="141">F239-F261</f>
        <v>0.74820000927090669</v>
      </c>
      <c r="G250" s="1">
        <f t="shared" si="141"/>
        <v>0.10058386805816331</v>
      </c>
      <c r="H250" s="1">
        <f t="shared" si="141"/>
        <v>6.3449473950973112E-2</v>
      </c>
      <c r="I250" s="1">
        <f t="shared" si="141"/>
        <v>0.33320387578460026</v>
      </c>
      <c r="J250" s="1">
        <f t="shared" si="141"/>
        <v>5.8382644779210742E-2</v>
      </c>
      <c r="K250" s="1">
        <f t="shared" si="141"/>
        <v>1.5724845822876057E-2</v>
      </c>
    </row>
    <row r="251" spans="1:11" x14ac:dyDescent="0.25">
      <c r="A251" s="5" t="s">
        <v>5</v>
      </c>
      <c r="B251" s="5" t="str">
        <f t="shared" si="139"/>
        <v>SPS4</v>
      </c>
      <c r="C251" s="5" t="s">
        <v>7</v>
      </c>
      <c r="D251" t="s">
        <v>570</v>
      </c>
      <c r="E251" t="str">
        <f>E173</f>
        <v>PJ/yr.</v>
      </c>
      <c r="F251" s="1">
        <f t="shared" si="141"/>
        <v>0</v>
      </c>
      <c r="G251" s="1">
        <f t="shared" si="141"/>
        <v>0</v>
      </c>
      <c r="H251" s="1">
        <f t="shared" si="141"/>
        <v>0</v>
      </c>
      <c r="I251" s="1">
        <f t="shared" si="141"/>
        <v>0</v>
      </c>
      <c r="J251" s="1">
        <f t="shared" si="141"/>
        <v>0</v>
      </c>
      <c r="K251" s="1">
        <f t="shared" si="141"/>
        <v>0</v>
      </c>
    </row>
    <row r="252" spans="1:11" x14ac:dyDescent="0.25">
      <c r="A252" s="5" t="s">
        <v>5</v>
      </c>
      <c r="B252" s="5" t="str">
        <f t="shared" si="139"/>
        <v>SPS4</v>
      </c>
      <c r="C252" s="5" t="s">
        <v>7</v>
      </c>
      <c r="D252" t="s">
        <v>571</v>
      </c>
      <c r="E252" t="str">
        <f>E174</f>
        <v>PJ/yr.</v>
      </c>
      <c r="F252" s="1">
        <f t="shared" si="141"/>
        <v>0</v>
      </c>
      <c r="G252" s="1">
        <f t="shared" si="141"/>
        <v>0</v>
      </c>
      <c r="H252" s="1">
        <f t="shared" si="141"/>
        <v>0</v>
      </c>
      <c r="I252" s="1">
        <f t="shared" si="141"/>
        <v>1.6464595261909515E-4</v>
      </c>
      <c r="J252" s="1">
        <f t="shared" si="141"/>
        <v>8.342331776355008E-4</v>
      </c>
      <c r="K252" s="1">
        <f t="shared" si="141"/>
        <v>5.7684325890564883E-4</v>
      </c>
    </row>
    <row r="253" spans="1:11" x14ac:dyDescent="0.25">
      <c r="A253" s="5" t="s">
        <v>5</v>
      </c>
      <c r="B253" s="5" t="str">
        <f t="shared" si="139"/>
        <v>SPS4</v>
      </c>
      <c r="C253" s="5" t="s">
        <v>7</v>
      </c>
      <c r="D253" t="s">
        <v>572</v>
      </c>
      <c r="E253" t="str">
        <f>E197</f>
        <v>PJ/yr.</v>
      </c>
      <c r="F253" s="1">
        <f>F242-F264</f>
        <v>3.3597912024609905E-2</v>
      </c>
      <c r="G253" s="1">
        <f t="shared" ref="G253:K253" si="142">G242-G264</f>
        <v>5.3103603070585549E-3</v>
      </c>
      <c r="H253" s="1">
        <f t="shared" si="142"/>
        <v>8.0079585176369861E-3</v>
      </c>
      <c r="I253" s="1">
        <f t="shared" si="142"/>
        <v>1.6349871805009197E-2</v>
      </c>
      <c r="J253" s="1">
        <f t="shared" si="142"/>
        <v>2.845549096750432E-2</v>
      </c>
      <c r="K253" s="1">
        <f t="shared" si="142"/>
        <v>1.9339998060471677E-2</v>
      </c>
    </row>
    <row r="254" spans="1:11" x14ac:dyDescent="0.25">
      <c r="A254" s="5" t="s">
        <v>5</v>
      </c>
      <c r="B254" s="5" t="str">
        <f t="shared" si="139"/>
        <v>SPS4</v>
      </c>
      <c r="C254" s="5" t="s">
        <v>7</v>
      </c>
      <c r="D254" t="s">
        <v>573</v>
      </c>
      <c r="E254" t="str">
        <f>E199</f>
        <v>PJ/yr.</v>
      </c>
      <c r="F254" s="1">
        <f t="shared" ref="F254:K254" si="143">F243-F265</f>
        <v>0</v>
      </c>
      <c r="G254" s="1">
        <f t="shared" si="143"/>
        <v>0</v>
      </c>
      <c r="H254" s="1">
        <f t="shared" si="143"/>
        <v>0</v>
      </c>
      <c r="I254" s="1">
        <f t="shared" si="143"/>
        <v>0</v>
      </c>
      <c r="J254" s="1">
        <f t="shared" si="143"/>
        <v>0</v>
      </c>
      <c r="K254" s="1">
        <f t="shared" si="143"/>
        <v>0</v>
      </c>
    </row>
    <row r="255" spans="1:11" x14ac:dyDescent="0.25">
      <c r="A255" s="5" t="s">
        <v>5</v>
      </c>
      <c r="B255" s="5" t="str">
        <f t="shared" si="139"/>
        <v>SPS4</v>
      </c>
      <c r="C255" s="5" t="s">
        <v>7</v>
      </c>
      <c r="D255" t="s">
        <v>574</v>
      </c>
      <c r="E255" t="str">
        <f>E201</f>
        <v>PJ/yr.</v>
      </c>
      <c r="F255" s="1">
        <f t="shared" ref="F255:K255" si="144">F244-F266</f>
        <v>8.0071307667598915E-2</v>
      </c>
      <c r="G255" s="1">
        <f t="shared" si="144"/>
        <v>3.9656194051001497E-3</v>
      </c>
      <c r="H255" s="1">
        <f t="shared" si="144"/>
        <v>6.6794175729781415E-3</v>
      </c>
      <c r="I255" s="1">
        <f t="shared" si="144"/>
        <v>0.44710112124425633</v>
      </c>
      <c r="J255" s="1">
        <f t="shared" si="144"/>
        <v>35.069649517957416</v>
      </c>
      <c r="K255" s="1">
        <f t="shared" si="144"/>
        <v>42.159501898183123</v>
      </c>
    </row>
    <row r="256" spans="1:11" x14ac:dyDescent="0.25">
      <c r="A256" s="5" t="s">
        <v>5</v>
      </c>
      <c r="B256" s="5" t="str">
        <f t="shared" si="139"/>
        <v>SPS4</v>
      </c>
      <c r="C256" s="5" t="s">
        <v>7</v>
      </c>
      <c r="D256" t="s">
        <v>575</v>
      </c>
      <c r="E256" t="str">
        <f>E202</f>
        <v>PJ/yr.</v>
      </c>
      <c r="F256" s="1">
        <f t="shared" ref="F256:K257" si="145">F245-F267</f>
        <v>0</v>
      </c>
      <c r="G256" s="1">
        <f t="shared" si="145"/>
        <v>0</v>
      </c>
      <c r="H256" s="1">
        <f t="shared" si="145"/>
        <v>0</v>
      </c>
      <c r="I256" s="1">
        <f t="shared" si="145"/>
        <v>0</v>
      </c>
      <c r="J256" s="1">
        <f t="shared" si="145"/>
        <v>0</v>
      </c>
      <c r="K256" s="1">
        <f t="shared" si="145"/>
        <v>0</v>
      </c>
    </row>
    <row r="257" spans="1:18" x14ac:dyDescent="0.25">
      <c r="A257" s="5" t="s">
        <v>5</v>
      </c>
      <c r="B257" s="5" t="str">
        <f t="shared" si="139"/>
        <v>SPS4</v>
      </c>
      <c r="C257" s="5" t="s">
        <v>7</v>
      </c>
      <c r="D257" t="s">
        <v>576</v>
      </c>
      <c r="E257" t="str">
        <f>E239</f>
        <v>PJ/yr.</v>
      </c>
      <c r="F257" s="1">
        <f t="shared" si="145"/>
        <v>0</v>
      </c>
      <c r="G257" s="1">
        <f t="shared" ref="G257:K257" si="146">G246-G268</f>
        <v>0</v>
      </c>
      <c r="H257" s="1">
        <f t="shared" si="146"/>
        <v>0</v>
      </c>
      <c r="I257" s="1">
        <f t="shared" si="146"/>
        <v>0</v>
      </c>
      <c r="J257" s="1">
        <f t="shared" si="146"/>
        <v>0</v>
      </c>
      <c r="K257" s="1">
        <f t="shared" si="146"/>
        <v>0</v>
      </c>
    </row>
    <row r="258" spans="1:18" x14ac:dyDescent="0.25">
      <c r="A258" s="5" t="s">
        <v>5</v>
      </c>
      <c r="B258" s="5" t="str">
        <f t="shared" si="139"/>
        <v>SPS4</v>
      </c>
      <c r="C258" s="5" t="s">
        <v>7</v>
      </c>
      <c r="D258" t="s">
        <v>577</v>
      </c>
      <c r="E258" t="str">
        <f>E241</f>
        <v>PJ/yr.</v>
      </c>
      <c r="F258" s="1">
        <f t="shared" ref="F258:K258" si="147">F247-F269</f>
        <v>0.67472848488162607</v>
      </c>
      <c r="G258" s="1">
        <f t="shared" si="147"/>
        <v>0.72723431578987607</v>
      </c>
      <c r="H258" s="1">
        <f t="shared" si="147"/>
        <v>1.3030814330778568E-2</v>
      </c>
      <c r="I258" s="1">
        <f t="shared" si="147"/>
        <v>1.3961277839064099E-2</v>
      </c>
      <c r="J258" s="1">
        <f t="shared" si="147"/>
        <v>3.8253242042934447E-2</v>
      </c>
      <c r="K258" s="1">
        <f t="shared" si="147"/>
        <v>5.3450281692546278E-4</v>
      </c>
    </row>
    <row r="259" spans="1:18" x14ac:dyDescent="0.25">
      <c r="A259" s="5" t="s">
        <v>5</v>
      </c>
      <c r="B259" s="5" t="str">
        <f t="shared" si="139"/>
        <v>SPS4</v>
      </c>
      <c r="C259" s="5" t="s">
        <v>7</v>
      </c>
      <c r="D259" t="s">
        <v>578</v>
      </c>
      <c r="E259" t="str">
        <f>E243</f>
        <v>PJ/yr.</v>
      </c>
      <c r="F259" s="1">
        <f t="shared" ref="F259:K259" si="148">F248-F270</f>
        <v>0</v>
      </c>
      <c r="G259" s="1">
        <f t="shared" si="148"/>
        <v>0</v>
      </c>
      <c r="H259" s="1">
        <f t="shared" si="148"/>
        <v>0</v>
      </c>
      <c r="I259" s="1">
        <f t="shared" si="148"/>
        <v>4.9995835692683069E-5</v>
      </c>
      <c r="J259" s="1">
        <f t="shared" si="148"/>
        <v>1.9840571487097676E-3</v>
      </c>
      <c r="K259" s="1">
        <f t="shared" si="148"/>
        <v>1.9308131561746125E-3</v>
      </c>
    </row>
    <row r="260" spans="1:18" x14ac:dyDescent="0.25">
      <c r="A260" s="5" t="s">
        <v>5</v>
      </c>
      <c r="B260" s="5" t="str">
        <f t="shared" si="139"/>
        <v>SPS4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1.4649613261963967</v>
      </c>
      <c r="G260" s="1">
        <f t="shared" ref="G260:K260" si="149">SUM(G261:G270)</f>
        <v>1.6047817534745938</v>
      </c>
      <c r="H260" s="1">
        <f t="shared" si="149"/>
        <v>1.4860341935739407</v>
      </c>
      <c r="I260" s="1">
        <f t="shared" si="149"/>
        <v>1.3487734453434181</v>
      </c>
      <c r="J260" s="1">
        <f t="shared" si="149"/>
        <v>1.1291362595656576</v>
      </c>
      <c r="K260" s="1">
        <f t="shared" si="149"/>
        <v>1.2032647434072654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tr">
        <f t="shared" si="139"/>
        <v>SPS4</v>
      </c>
      <c r="C261" s="5" t="s">
        <v>7</v>
      </c>
      <c r="D261" t="s">
        <v>630</v>
      </c>
      <c r="E261" t="str">
        <f>E175</f>
        <v>PJ/yr.</v>
      </c>
      <c r="F261" s="1">
        <f t="shared" ref="F261:K270" si="150">F239*IFERROR(F118/F86,0)</f>
        <v>1.9793990042900656E-2</v>
      </c>
      <c r="G261" s="1">
        <f t="shared" si="150"/>
        <v>3.178083701722408E-3</v>
      </c>
      <c r="H261" s="1">
        <f t="shared" si="150"/>
        <v>2.1603965004612486E-3</v>
      </c>
      <c r="I261" s="1">
        <f t="shared" si="150"/>
        <v>1.0210964830458089E-2</v>
      </c>
      <c r="J261" s="1">
        <f t="shared" si="150"/>
        <v>2.0438123247215549E-4</v>
      </c>
      <c r="K261" s="1">
        <f t="shared" si="150"/>
        <v>7.3540696194574569E-5</v>
      </c>
    </row>
    <row r="262" spans="1:18" x14ac:dyDescent="0.25">
      <c r="A262" s="5" t="s">
        <v>5</v>
      </c>
      <c r="B262" s="5" t="str">
        <f t="shared" si="139"/>
        <v>SPS4</v>
      </c>
      <c r="C262" s="5" t="s">
        <v>7</v>
      </c>
      <c r="D262" t="s">
        <v>631</v>
      </c>
      <c r="E262" t="str">
        <f>E176</f>
        <v>PJ/yr.</v>
      </c>
      <c r="F262" s="1">
        <f t="shared" si="150"/>
        <v>0</v>
      </c>
      <c r="G262" s="1">
        <f t="shared" si="150"/>
        <v>0</v>
      </c>
      <c r="H262" s="1">
        <f t="shared" si="150"/>
        <v>0</v>
      </c>
      <c r="I262" s="1">
        <f t="shared" si="150"/>
        <v>0</v>
      </c>
      <c r="J262" s="1">
        <f t="shared" si="150"/>
        <v>0</v>
      </c>
      <c r="K262" s="1">
        <f t="shared" si="150"/>
        <v>0</v>
      </c>
    </row>
    <row r="263" spans="1:18" x14ac:dyDescent="0.25">
      <c r="A263" s="5" t="s">
        <v>5</v>
      </c>
      <c r="B263" s="5" t="str">
        <f t="shared" si="139"/>
        <v>SPS4</v>
      </c>
      <c r="C263" s="5" t="s">
        <v>7</v>
      </c>
      <c r="D263" t="s">
        <v>632</v>
      </c>
      <c r="E263" t="str">
        <f>E177</f>
        <v>PJ/yr.</v>
      </c>
      <c r="F263" s="1">
        <f t="shared" si="150"/>
        <v>0</v>
      </c>
      <c r="G263" s="1">
        <f t="shared" si="150"/>
        <v>0</v>
      </c>
      <c r="H263" s="1">
        <f t="shared" si="150"/>
        <v>0</v>
      </c>
      <c r="I263" s="1">
        <f t="shared" si="150"/>
        <v>5.0455416453728694E-6</v>
      </c>
      <c r="J263" s="1">
        <f t="shared" si="150"/>
        <v>2.9204159157075311E-6</v>
      </c>
      <c r="K263" s="1">
        <f t="shared" si="150"/>
        <v>2.6977342310952978E-6</v>
      </c>
    </row>
    <row r="264" spans="1:18" x14ac:dyDescent="0.25">
      <c r="A264" s="5" t="s">
        <v>5</v>
      </c>
      <c r="B264" s="5" t="str">
        <f t="shared" si="139"/>
        <v>SPS4</v>
      </c>
      <c r="C264" s="5" t="s">
        <v>7</v>
      </c>
      <c r="D264" t="s">
        <v>633</v>
      </c>
      <c r="E264" t="str">
        <f>E203</f>
        <v>PJ/yr.</v>
      </c>
      <c r="F264" s="1">
        <f t="shared" si="150"/>
        <v>8.8884887441452269E-4</v>
      </c>
      <c r="G264" s="1">
        <f t="shared" si="150"/>
        <v>1.6778803468143905E-4</v>
      </c>
      <c r="H264" s="1">
        <f t="shared" si="150"/>
        <v>2.7266365629303156E-4</v>
      </c>
      <c r="I264" s="1">
        <f t="shared" si="150"/>
        <v>5.0103848759361607E-4</v>
      </c>
      <c r="J264" s="1">
        <f t="shared" si="150"/>
        <v>9.9614677213282683E-5</v>
      </c>
      <c r="K264" s="1">
        <f t="shared" si="150"/>
        <v>9.0447749872353038E-5</v>
      </c>
    </row>
    <row r="265" spans="1:18" x14ac:dyDescent="0.25">
      <c r="A265" s="5" t="s">
        <v>5</v>
      </c>
      <c r="B265" s="5" t="str">
        <f t="shared" si="139"/>
        <v>SPS4</v>
      </c>
      <c r="C265" s="5" t="s">
        <v>7</v>
      </c>
      <c r="D265" t="s">
        <v>634</v>
      </c>
      <c r="E265" t="str">
        <f>E205</f>
        <v>PJ/yr.</v>
      </c>
      <c r="F265" s="1">
        <f t="shared" si="150"/>
        <v>0</v>
      </c>
      <c r="G265" s="1">
        <f t="shared" si="150"/>
        <v>0</v>
      </c>
      <c r="H265" s="1">
        <f t="shared" si="150"/>
        <v>0</v>
      </c>
      <c r="I265" s="1">
        <f t="shared" si="150"/>
        <v>0</v>
      </c>
      <c r="J265" s="1">
        <f t="shared" si="150"/>
        <v>0</v>
      </c>
      <c r="K265" s="1">
        <f t="shared" si="150"/>
        <v>0</v>
      </c>
    </row>
    <row r="266" spans="1:18" x14ac:dyDescent="0.25">
      <c r="A266" s="5" t="s">
        <v>5</v>
      </c>
      <c r="B266" s="5" t="str">
        <f t="shared" si="139"/>
        <v>SPS4</v>
      </c>
      <c r="C266" s="5" t="s">
        <v>7</v>
      </c>
      <c r="D266" t="s">
        <v>635</v>
      </c>
      <c r="E266" t="str">
        <f>E207</f>
        <v>PJ/yr.</v>
      </c>
      <c r="F266" s="1">
        <f t="shared" si="150"/>
        <v>2.1183248423625985E-3</v>
      </c>
      <c r="G266" s="1">
        <f t="shared" si="150"/>
        <v>1.2529912243278499E-4</v>
      </c>
      <c r="H266" s="1">
        <f t="shared" si="150"/>
        <v>2.2742805339775443E-4</v>
      </c>
      <c r="I266" s="1">
        <f t="shared" si="150"/>
        <v>1.370132269300115E-2</v>
      </c>
      <c r="J266" s="1">
        <f t="shared" si="150"/>
        <v>0.12276898756390266</v>
      </c>
      <c r="K266" s="1">
        <f t="shared" si="150"/>
        <v>0.19716817294948893</v>
      </c>
    </row>
    <row r="267" spans="1:18" x14ac:dyDescent="0.25">
      <c r="A267" s="5" t="s">
        <v>5</v>
      </c>
      <c r="B267" s="5" t="str">
        <f t="shared" si="139"/>
        <v>SPS4</v>
      </c>
      <c r="C267" s="5" t="s">
        <v>7</v>
      </c>
      <c r="D267" t="s">
        <v>636</v>
      </c>
      <c r="E267" t="str">
        <f>E208</f>
        <v>PJ/yr.</v>
      </c>
      <c r="F267" s="1">
        <f t="shared" si="150"/>
        <v>0</v>
      </c>
      <c r="G267" s="1">
        <f t="shared" si="150"/>
        <v>0</v>
      </c>
      <c r="H267" s="1">
        <f t="shared" si="150"/>
        <v>0</v>
      </c>
      <c r="I267" s="1">
        <f t="shared" si="150"/>
        <v>0</v>
      </c>
      <c r="J267" s="1">
        <f t="shared" si="150"/>
        <v>0</v>
      </c>
      <c r="K267" s="1">
        <f t="shared" si="150"/>
        <v>0</v>
      </c>
    </row>
    <row r="268" spans="1:18" x14ac:dyDescent="0.25">
      <c r="A268" s="5" t="s">
        <v>5</v>
      </c>
      <c r="B268" s="5" t="str">
        <f t="shared" si="139"/>
        <v>SPS4</v>
      </c>
      <c r="C268" s="5" t="s">
        <v>7</v>
      </c>
      <c r="D268" t="s">
        <v>637</v>
      </c>
      <c r="E268" t="str">
        <f>E231</f>
        <v>PJ/yr.</v>
      </c>
      <c r="F268" s="1">
        <f t="shared" si="150"/>
        <v>1.4243098968046417</v>
      </c>
      <c r="G268" s="1">
        <f t="shared" si="150"/>
        <v>1.5783326282880454</v>
      </c>
      <c r="H268" s="1">
        <f t="shared" si="150"/>
        <v>1.4829300180654492</v>
      </c>
      <c r="I268" s="1">
        <f t="shared" si="150"/>
        <v>1.3239257011659689</v>
      </c>
      <c r="J268" s="1">
        <f t="shared" si="150"/>
        <v>1.0059194961993136</v>
      </c>
      <c r="K268" s="1">
        <f t="shared" si="150"/>
        <v>1.0059183546857073</v>
      </c>
    </row>
    <row r="269" spans="1:18" x14ac:dyDescent="0.25">
      <c r="A269" s="5" t="s">
        <v>5</v>
      </c>
      <c r="B269" s="5" t="str">
        <f t="shared" si="139"/>
        <v>SPS4</v>
      </c>
      <c r="C269" s="5" t="s">
        <v>7</v>
      </c>
      <c r="D269" t="s">
        <v>638</v>
      </c>
      <c r="E269" t="str">
        <f>E233</f>
        <v>PJ/yr.</v>
      </c>
      <c r="F269" s="1">
        <f t="shared" si="150"/>
        <v>1.7850265632077263E-2</v>
      </c>
      <c r="G269" s="1">
        <f t="shared" si="150"/>
        <v>2.2977954327711658E-2</v>
      </c>
      <c r="H269" s="1">
        <f t="shared" si="150"/>
        <v>4.4368729833957186E-4</v>
      </c>
      <c r="I269" s="1">
        <f t="shared" si="150"/>
        <v>4.2784051256082671E-4</v>
      </c>
      <c r="J269" s="1">
        <f t="shared" si="150"/>
        <v>1.3391385032927779E-4</v>
      </c>
      <c r="K269" s="1">
        <f t="shared" si="150"/>
        <v>2.499719852100301E-6</v>
      </c>
    </row>
    <row r="270" spans="1:18" x14ac:dyDescent="0.25">
      <c r="A270" s="5" t="s">
        <v>5</v>
      </c>
      <c r="B270" s="5" t="str">
        <f t="shared" si="139"/>
        <v>SPS4</v>
      </c>
      <c r="C270" s="5" t="s">
        <v>7</v>
      </c>
      <c r="D270" t="s">
        <v>639</v>
      </c>
      <c r="E270" t="str">
        <f>E237</f>
        <v>PJ/yr.</v>
      </c>
      <c r="F270" s="1">
        <f t="shared" si="150"/>
        <v>0</v>
      </c>
      <c r="G270" s="1">
        <f t="shared" si="150"/>
        <v>0</v>
      </c>
      <c r="H270" s="1">
        <f t="shared" si="150"/>
        <v>0</v>
      </c>
      <c r="I270" s="1">
        <f t="shared" si="150"/>
        <v>1.5321121902476448E-6</v>
      </c>
      <c r="J270" s="1">
        <f t="shared" si="150"/>
        <v>6.9456265107895108E-6</v>
      </c>
      <c r="K270" s="1">
        <f t="shared" si="150"/>
        <v>9.0298719190083882E-6</v>
      </c>
    </row>
    <row r="271" spans="1:18" x14ac:dyDescent="0.25">
      <c r="A271" s="5" t="s">
        <v>5</v>
      </c>
      <c r="B271" s="5" t="str">
        <f t="shared" si="139"/>
        <v>SPS4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1.9348106609507449</v>
      </c>
      <c r="G271" s="1">
        <f t="shared" ref="G271:K271" si="151">SUM(G272:G273)</f>
        <v>1.8587679192142668</v>
      </c>
      <c r="H271" s="1">
        <f t="shared" si="151"/>
        <v>2.5502914993972658</v>
      </c>
      <c r="I271" s="1">
        <f t="shared" si="151"/>
        <v>2.2433304809399512</v>
      </c>
      <c r="J271" s="1">
        <f t="shared" si="151"/>
        <v>1.658925838447634</v>
      </c>
      <c r="K271" s="1">
        <f t="shared" si="151"/>
        <v>1.0997681386292535</v>
      </c>
    </row>
    <row r="272" spans="1:18" x14ac:dyDescent="0.25">
      <c r="A272" s="5" t="s">
        <v>5</v>
      </c>
      <c r="B272" s="5" t="str">
        <f t="shared" si="139"/>
        <v>SPS4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1.9348106609507449</v>
      </c>
      <c r="G272" s="1">
        <f>'[1]Electricity and CHPs'!C$106-G273</f>
        <v>1.8587679192142668</v>
      </c>
      <c r="H272" s="1">
        <f>'[1]Electricity and CHPs'!D$106-H273</f>
        <v>2.5502914993972658</v>
      </c>
      <c r="I272" s="1">
        <f>'[1]Electricity and CHPs'!E$106-I273</f>
        <v>2.2433304809399512</v>
      </c>
      <c r="J272" s="1">
        <f>'[1]Electricity and CHPs'!F$106-J273</f>
        <v>1.658925838447634</v>
      </c>
      <c r="K272" s="1">
        <f>'[1]Electricity and CHPs'!G$106-K273</f>
        <v>1.0997681386292535</v>
      </c>
    </row>
    <row r="273" spans="1:11" x14ac:dyDescent="0.25">
      <c r="A273" s="5" t="s">
        <v>5</v>
      </c>
      <c r="B273" s="5" t="str">
        <f t="shared" si="139"/>
        <v>SPS4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0</v>
      </c>
    </row>
    <row r="274" spans="1:11" x14ac:dyDescent="0.25">
      <c r="A274" s="5" t="s">
        <v>5</v>
      </c>
      <c r="B274" s="5" t="str">
        <f t="shared" si="139"/>
        <v>SPS4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52">SUM(G275:G276)</f>
        <v>0</v>
      </c>
      <c r="H274" s="10">
        <f t="shared" si="152"/>
        <v>0</v>
      </c>
      <c r="I274" s="10">
        <f t="shared" si="152"/>
        <v>0</v>
      </c>
      <c r="J274" s="10">
        <f t="shared" si="152"/>
        <v>0</v>
      </c>
      <c r="K274" s="10">
        <f t="shared" si="152"/>
        <v>0</v>
      </c>
    </row>
    <row r="275" spans="1:11" x14ac:dyDescent="0.25">
      <c r="A275" s="5" t="s">
        <v>5</v>
      </c>
      <c r="B275" s="5" t="str">
        <f t="shared" si="139"/>
        <v>SPS4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tr">
        <f t="shared" si="139"/>
        <v>SPS4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tr">
        <f t="shared" si="139"/>
        <v>SPS4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1.9348106609507449</v>
      </c>
      <c r="G277" s="1">
        <f t="shared" ref="G277:K277" si="153">SUM(G278:G279)</f>
        <v>1.8587679192142668</v>
      </c>
      <c r="H277" s="1">
        <f t="shared" si="153"/>
        <v>2.5502914993972658</v>
      </c>
      <c r="I277" s="1">
        <f t="shared" si="153"/>
        <v>2.2433304809399512</v>
      </c>
      <c r="J277" s="1">
        <f t="shared" si="153"/>
        <v>1.658925838447634</v>
      </c>
      <c r="K277" s="1">
        <f t="shared" si="153"/>
        <v>1.0997681386292535</v>
      </c>
    </row>
    <row r="278" spans="1:11" x14ac:dyDescent="0.25">
      <c r="A278" s="5" t="s">
        <v>5</v>
      </c>
      <c r="B278" s="5" t="str">
        <f t="shared" si="139"/>
        <v>SPS4</v>
      </c>
      <c r="C278" s="5" t="s">
        <v>7</v>
      </c>
      <c r="D278" t="s">
        <v>183</v>
      </c>
      <c r="E278" t="str">
        <f>E183</f>
        <v>PJ/yr.</v>
      </c>
      <c r="F278" s="1">
        <f>F272</f>
        <v>1.9348106609507449</v>
      </c>
      <c r="G278" s="1">
        <f t="shared" ref="G278:K278" si="154">G272</f>
        <v>1.8587679192142668</v>
      </c>
      <c r="H278" s="1">
        <f t="shared" si="154"/>
        <v>2.5502914993972658</v>
      </c>
      <c r="I278" s="1">
        <f t="shared" si="154"/>
        <v>2.2433304809399512</v>
      </c>
      <c r="J278" s="1">
        <f t="shared" si="154"/>
        <v>1.658925838447634</v>
      </c>
      <c r="K278" s="1">
        <f t="shared" si="154"/>
        <v>1.0997681386292535</v>
      </c>
    </row>
    <row r="279" spans="1:11" x14ac:dyDescent="0.25">
      <c r="A279" s="5" t="s">
        <v>5</v>
      </c>
      <c r="B279" s="5" t="str">
        <f t="shared" si="139"/>
        <v>SPS4</v>
      </c>
      <c r="C279" s="5" t="s">
        <v>7</v>
      </c>
      <c r="D279" t="s">
        <v>184</v>
      </c>
      <c r="E279" t="str">
        <f>E185</f>
        <v>PJ/yr.</v>
      </c>
      <c r="F279" s="1">
        <f t="shared" ref="F279:K279" si="155">F273</f>
        <v>0</v>
      </c>
      <c r="G279" s="1">
        <f t="shared" si="155"/>
        <v>0</v>
      </c>
      <c r="H279" s="1">
        <f t="shared" si="155"/>
        <v>0</v>
      </c>
      <c r="I279" s="1">
        <f t="shared" si="155"/>
        <v>0</v>
      </c>
      <c r="J279" s="1">
        <f t="shared" si="155"/>
        <v>0</v>
      </c>
      <c r="K279" s="1">
        <f t="shared" si="155"/>
        <v>0</v>
      </c>
    </row>
    <row r="280" spans="1:11" x14ac:dyDescent="0.25">
      <c r="A280" s="5" t="s">
        <v>5</v>
      </c>
      <c r="B280" s="5" t="str">
        <f t="shared" si="139"/>
        <v>SPS4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0.65978697984277823</v>
      </c>
      <c r="G280" s="1">
        <f t="shared" ref="G280:K280" si="156">SUM(G281:G285)</f>
        <v>1.8137767452288043</v>
      </c>
      <c r="H280" s="1">
        <f t="shared" si="156"/>
        <v>2.7640778547080802</v>
      </c>
      <c r="I280" s="1">
        <f t="shared" si="156"/>
        <v>3.4725972399307485</v>
      </c>
      <c r="J280" s="1">
        <f t="shared" si="156"/>
        <v>9.6095153677300154</v>
      </c>
      <c r="K280" s="1">
        <f t="shared" si="156"/>
        <v>12.456042106695529</v>
      </c>
    </row>
    <row r="281" spans="1:11" x14ac:dyDescent="0.25">
      <c r="A281" s="5" t="s">
        <v>5</v>
      </c>
      <c r="B281" s="5" t="str">
        <f t="shared" si="139"/>
        <v>SPS4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0.65958369294156327</v>
      </c>
      <c r="G281" s="1">
        <f>'[1]Electricity and CHPs'!C$105-G282</f>
        <v>1.8135486835555503</v>
      </c>
      <c r="H281" s="1">
        <f>'[1]Electricity and CHPs'!D$105-H282</f>
        <v>2.7639614845893288</v>
      </c>
      <c r="I281" s="1">
        <f>'[1]Electricity and CHPs'!E$105-I282</f>
        <v>3.4650975398166826</v>
      </c>
      <c r="J281" s="1">
        <f>'[1]Electricity and CHPs'!F$105-J282</f>
        <v>9.5954637891387868</v>
      </c>
      <c r="K281" s="1">
        <f>'[1]Electricity and CHPs'!G$105-K282</f>
        <v>12.444636740706802</v>
      </c>
    </row>
    <row r="282" spans="1:11" x14ac:dyDescent="0.25">
      <c r="A282" s="5" t="s">
        <v>5</v>
      </c>
      <c r="B282" s="5" t="str">
        <f t="shared" si="139"/>
        <v>SPS4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0</v>
      </c>
    </row>
    <row r="283" spans="1:11" x14ac:dyDescent="0.25">
      <c r="A283" s="5" t="s">
        <v>5</v>
      </c>
      <c r="B283" s="5" t="str">
        <f t="shared" si="139"/>
        <v>SPS4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9.558943092599024E-5</v>
      </c>
      <c r="G283" s="1">
        <f>'[1]Electricity and CHPs'!C$110</f>
        <v>1.1404813464839068E-4</v>
      </c>
      <c r="H283" s="1">
        <f>'[1]Electricity and CHPs'!D$110</f>
        <v>5.5291240696020037E-5</v>
      </c>
      <c r="I283" s="1">
        <f>'[1]Electricity and CHPs'!E$110</f>
        <v>2.3063562753254212E-3</v>
      </c>
      <c r="J283" s="1">
        <f>'[1]Electricity and CHPs'!F$110</f>
        <v>5.0887275376026997E-3</v>
      </c>
      <c r="K283" s="1">
        <f>'[1]Electricity and CHPs'!G$110</f>
        <v>4.3043322296930156E-3</v>
      </c>
    </row>
    <row r="284" spans="1:11" x14ac:dyDescent="0.25">
      <c r="A284" s="5" t="s">
        <v>5</v>
      </c>
      <c r="B284" s="5" t="str">
        <f t="shared" si="139"/>
        <v>SPS4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1.0769747028891444E-4</v>
      </c>
      <c r="G284" s="1">
        <f>'[1]Electricity and CHPs'!C$113</f>
        <v>1.1401353860546697E-4</v>
      </c>
      <c r="H284" s="1">
        <f>'[1]Electricity and CHPs'!D$113</f>
        <v>6.1078878055243044E-5</v>
      </c>
      <c r="I284" s="1">
        <f>'[1]Electricity and CHPs'!E$113</f>
        <v>4.2627747268177358E-3</v>
      </c>
      <c r="J284" s="1">
        <f>'[1]Electricity and CHPs'!F$113</f>
        <v>8.1433725893538134E-3</v>
      </c>
      <c r="K284" s="1">
        <f>'[1]Electricity and CHPs'!G$113</f>
        <v>6.8471043360002742E-3</v>
      </c>
    </row>
    <row r="285" spans="1:11" x14ac:dyDescent="0.25">
      <c r="A285" s="5" t="s">
        <v>5</v>
      </c>
      <c r="B285" s="5" t="str">
        <f t="shared" si="139"/>
        <v>SPS4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9.3056911192281944E-4</v>
      </c>
      <c r="J285" s="1">
        <f>'[1]Electricity and CHPs'!F$117</f>
        <v>8.1947846427180059E-4</v>
      </c>
      <c r="K285" s="1">
        <f>'[1]Electricity and CHPs'!G$117</f>
        <v>2.5392942303324338E-4</v>
      </c>
    </row>
    <row r="286" spans="1:11" x14ac:dyDescent="0.25">
      <c r="A286" s="5" t="s">
        <v>5</v>
      </c>
      <c r="B286" s="5" t="str">
        <f t="shared" si="139"/>
        <v>SPS4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57">SUM(G287:G288)</f>
        <v>0</v>
      </c>
      <c r="H286" s="1">
        <f t="shared" si="157"/>
        <v>0</v>
      </c>
      <c r="I286" s="1">
        <f t="shared" si="157"/>
        <v>2.087687384760555E-3</v>
      </c>
      <c r="J286" s="1">
        <f t="shared" si="157"/>
        <v>1.0414869514981421E-2</v>
      </c>
      <c r="K286" s="1">
        <f t="shared" si="157"/>
        <v>2.3660987427214571E-2</v>
      </c>
    </row>
    <row r="287" spans="1:11" x14ac:dyDescent="0.25">
      <c r="A287" s="5" t="s">
        <v>5</v>
      </c>
      <c r="B287" s="5" t="str">
        <f t="shared" si="139"/>
        <v>SPS4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1.7659029966205319E-3</v>
      </c>
      <c r="J287" s="1">
        <f>'[1]Electricity and CHPs'!F$108</f>
        <v>1.0095540810673048E-2</v>
      </c>
      <c r="K287" s="1">
        <f>'[1]Electricity and CHPs'!G$108</f>
        <v>2.3482492239444184E-2</v>
      </c>
    </row>
    <row r="288" spans="1:11" x14ac:dyDescent="0.25">
      <c r="A288" s="5" t="s">
        <v>5</v>
      </c>
      <c r="B288" s="5" t="str">
        <f t="shared" si="139"/>
        <v>SPS4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3.2178438814002314E-4</v>
      </c>
      <c r="J288" s="1">
        <f>'[1]Electricity and CHPs'!F$119</f>
        <v>3.19328704308372E-4</v>
      </c>
      <c r="K288" s="1">
        <f>'[1]Electricity and CHPs'!G$119</f>
        <v>1.7849518777038735E-4</v>
      </c>
    </row>
    <row r="289" spans="1:13" x14ac:dyDescent="0.25">
      <c r="A289" s="5" t="s">
        <v>5</v>
      </c>
      <c r="B289" s="9" t="str">
        <f t="shared" si="139"/>
        <v>SPS4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437.64265509990582</v>
      </c>
      <c r="G289" s="3">
        <f t="shared" ref="G289" si="158">SUM(G290,G292,G300,G308,G356,G377,G385,G387,G395,G399,G393)</f>
        <v>419.61278213567022</v>
      </c>
      <c r="H289" s="3">
        <f t="shared" ref="H289" si="159">SUM(H290,H292,H300,H308,H356,H377,H385,H387,H395,H399,H393)</f>
        <v>465.67182356471307</v>
      </c>
      <c r="I289" s="3">
        <f t="shared" ref="I289" si="160">SUM(I290,I292,I300,I308,I356,I377,I385,I387,I395,I399,I393)</f>
        <v>424.52881982800886</v>
      </c>
      <c r="J289" s="3">
        <f t="shared" ref="J289" si="161">SUM(J290,J292,J300,J308,J356,J377,J385,J387,J395,J399,J393)</f>
        <v>335.31530372403859</v>
      </c>
      <c r="K289" s="3">
        <f t="shared" ref="K289" si="162">SUM(K290,K292,K300,K308,K356,K377,K385,K387,K395,K399,K393)</f>
        <v>277.46814161664594</v>
      </c>
    </row>
    <row r="290" spans="1:13" x14ac:dyDescent="0.25">
      <c r="A290" s="5" t="s">
        <v>5</v>
      </c>
      <c r="B290" s="5" t="str">
        <f t="shared" si="139"/>
        <v>SPS4</v>
      </c>
      <c r="C290" s="5" t="s">
        <v>7</v>
      </c>
      <c r="D290" t="s">
        <v>846</v>
      </c>
      <c r="E290" t="str">
        <f>E288</f>
        <v>PJ/yr.</v>
      </c>
      <c r="F290" s="1">
        <f>F291</f>
        <v>250.94817287120784</v>
      </c>
      <c r="G290" s="1">
        <f t="shared" ref="G290:K290" si="163">G291</f>
        <v>253.29982394302306</v>
      </c>
      <c r="H290" s="1">
        <f t="shared" si="163"/>
        <v>215.81778844219883</v>
      </c>
      <c r="I290" s="1">
        <f t="shared" si="163"/>
        <v>209.65777564127052</v>
      </c>
      <c r="J290" s="1">
        <f t="shared" si="163"/>
        <v>98.94549837349372</v>
      </c>
      <c r="K290" s="1">
        <f t="shared" si="163"/>
        <v>0</v>
      </c>
    </row>
    <row r="291" spans="1:13" x14ac:dyDescent="0.25">
      <c r="A291" s="5" t="s">
        <v>5</v>
      </c>
      <c r="B291" s="5" t="str">
        <f t="shared" si="139"/>
        <v>SPS4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250.94817287120784</v>
      </c>
      <c r="G291" s="1">
        <f>'[1]Electricity and CHPs_IN'!C$14</f>
        <v>253.29982394302306</v>
      </c>
      <c r="H291" s="1">
        <f>'[1]Electricity and CHPs_IN'!D$14</f>
        <v>215.81778844219883</v>
      </c>
      <c r="I291" s="1">
        <f>'[1]Electricity and CHPs_IN'!E$14</f>
        <v>209.65777564127052</v>
      </c>
      <c r="J291" s="1">
        <f>'[1]Electricity and CHPs_IN'!F$14</f>
        <v>98.94549837349372</v>
      </c>
      <c r="K291" s="1">
        <f>'[1]Electricity and CHPs_IN'!G$14</f>
        <v>0</v>
      </c>
    </row>
    <row r="292" spans="1:13" x14ac:dyDescent="0.25">
      <c r="A292" s="5" t="s">
        <v>5</v>
      </c>
      <c r="B292" s="5" t="str">
        <f t="shared" si="139"/>
        <v>SPS4</v>
      </c>
      <c r="C292" s="5" t="s">
        <v>7</v>
      </c>
      <c r="D292" t="s">
        <v>847</v>
      </c>
      <c r="E292" t="str">
        <f t="shared" ref="E292:E355" si="164">E291</f>
        <v>PJ/yr.</v>
      </c>
      <c r="F292" s="1">
        <f>SUM(F293:F295)</f>
        <v>149.43048155513719</v>
      </c>
      <c r="G292" s="1">
        <f t="shared" ref="G292:K292" si="165">SUM(G293:G295)</f>
        <v>125.60530121745145</v>
      </c>
      <c r="H292" s="1">
        <f t="shared" si="165"/>
        <v>192.8451482410442</v>
      </c>
      <c r="I292" s="1">
        <f t="shared" si="165"/>
        <v>150.38556575195361</v>
      </c>
      <c r="J292" s="1">
        <f t="shared" si="165"/>
        <v>151.23325847618054</v>
      </c>
      <c r="K292" s="1">
        <f t="shared" si="165"/>
        <v>151.73914059274364</v>
      </c>
    </row>
    <row r="293" spans="1:13" x14ac:dyDescent="0.25">
      <c r="A293" s="5" t="s">
        <v>5</v>
      </c>
      <c r="B293" s="5" t="str">
        <f t="shared" si="139"/>
        <v>SPS4</v>
      </c>
      <c r="C293" s="5" t="s">
        <v>7</v>
      </c>
      <c r="D293" t="s">
        <v>93</v>
      </c>
      <c r="E293" t="str">
        <f t="shared" si="164"/>
        <v>PJ/yr.</v>
      </c>
      <c r="F293" s="1">
        <f>'[1]Electricity and CHPs_IN'!B$15</f>
        <v>66.745679999930999</v>
      </c>
      <c r="G293" s="1">
        <f>'[1]Electricity and CHPs_IN'!C$15</f>
        <v>49.798800988665533</v>
      </c>
      <c r="H293" s="1">
        <f>'[1]Electricity and CHPs_IN'!D$15</f>
        <v>68.536815682906209</v>
      </c>
      <c r="I293" s="1">
        <f>'[1]Electricity and CHPs_IN'!E$15</f>
        <v>70.225171135770708</v>
      </c>
      <c r="J293" s="1">
        <f>'[1]Electricity and CHPs_IN'!F$15</f>
        <v>72.772887627226268</v>
      </c>
      <c r="K293" s="1">
        <f>'[1]Electricity and CHPs_IN'!G$15</f>
        <v>69.178233945386481</v>
      </c>
    </row>
    <row r="294" spans="1:13" x14ac:dyDescent="0.25">
      <c r="A294" s="5" t="s">
        <v>5</v>
      </c>
      <c r="B294" s="5" t="str">
        <f t="shared" si="139"/>
        <v>SPS4</v>
      </c>
      <c r="C294" s="5" t="s">
        <v>7</v>
      </c>
      <c r="D294" t="s">
        <v>94</v>
      </c>
      <c r="E294" t="str">
        <f t="shared" si="164"/>
        <v>PJ/yr.</v>
      </c>
      <c r="F294" s="1">
        <f>'[1]Electricity and CHPs_IN'!B$16</f>
        <v>66.632400240500999</v>
      </c>
      <c r="G294" s="1">
        <f>'[1]Electricity and CHPs_IN'!C$16</f>
        <v>55.764002585785605</v>
      </c>
      <c r="H294" s="1">
        <f>'[1]Electricity and CHPs_IN'!D$16</f>
        <v>65.54852505634905</v>
      </c>
      <c r="I294" s="1">
        <f>'[1]Electricity and CHPs_IN'!E$16</f>
        <v>64.464360078239537</v>
      </c>
      <c r="J294" s="1">
        <f>'[1]Electricity and CHPs_IN'!F$16</f>
        <v>62.540333935611407</v>
      </c>
      <c r="K294" s="1">
        <f>'[1]Electricity and CHPs_IN'!G$16</f>
        <v>66.134977866950578</v>
      </c>
    </row>
    <row r="295" spans="1:13" x14ac:dyDescent="0.25">
      <c r="A295" s="5" t="s">
        <v>5</v>
      </c>
      <c r="B295" s="5" t="str">
        <f t="shared" si="139"/>
        <v>SPS4</v>
      </c>
      <c r="C295" s="5" t="s">
        <v>7</v>
      </c>
      <c r="D295" t="s">
        <v>95</v>
      </c>
      <c r="E295" t="str">
        <f t="shared" si="164"/>
        <v>PJ/yr.</v>
      </c>
      <c r="F295" s="1">
        <f>'[1]Electricity and CHPs_IN'!B$13</f>
        <v>16.052401314705218</v>
      </c>
      <c r="G295" s="1">
        <f>'[1]Electricity and CHPs_IN'!C$13</f>
        <v>20.042497643000324</v>
      </c>
      <c r="H295" s="1">
        <f>'[1]Electricity and CHPs_IN'!D$13</f>
        <v>58.759807501788949</v>
      </c>
      <c r="I295" s="1">
        <f>'[1]Electricity and CHPs_IN'!E$13</f>
        <v>15.69603453794338</v>
      </c>
      <c r="J295" s="1">
        <f>'[1]Electricity and CHPs_IN'!F$13</f>
        <v>15.920036913342878</v>
      </c>
      <c r="K295" s="1">
        <f>'[1]Electricity and CHPs_IN'!G$13</f>
        <v>16.425928780406593</v>
      </c>
    </row>
    <row r="296" spans="1:13" x14ac:dyDescent="0.25">
      <c r="A296" s="5" t="s">
        <v>5</v>
      </c>
      <c r="B296" s="5" t="str">
        <f t="shared" si="139"/>
        <v>SPS4</v>
      </c>
      <c r="C296" s="5" t="s">
        <v>7</v>
      </c>
      <c r="D296" t="s">
        <v>848</v>
      </c>
      <c r="E296" t="str">
        <f t="shared" si="164"/>
        <v>PJ/yr.</v>
      </c>
      <c r="F296" s="1">
        <f>SUM(F297:F299)</f>
        <v>0.13936364924491523</v>
      </c>
      <c r="G296" s="1">
        <f t="shared" ref="G296:K296" si="166">SUM(G297:G299)</f>
        <v>5.4270322064128386E-2</v>
      </c>
      <c r="H296" s="1">
        <f t="shared" si="166"/>
        <v>2.5510598730797664E-2</v>
      </c>
      <c r="I296" s="1">
        <f t="shared" si="166"/>
        <v>7.6530622957698219E-2</v>
      </c>
      <c r="J296" s="1">
        <f t="shared" si="166"/>
        <v>3.3787357645228486E-2</v>
      </c>
      <c r="K296" s="1">
        <f t="shared" si="166"/>
        <v>4.4381441138395858E-2</v>
      </c>
    </row>
    <row r="297" spans="1:13" x14ac:dyDescent="0.25">
      <c r="A297" s="5" t="s">
        <v>5</v>
      </c>
      <c r="B297" s="5" t="str">
        <f t="shared" si="139"/>
        <v>SPS4</v>
      </c>
      <c r="C297" s="5" t="s">
        <v>7</v>
      </c>
      <c r="D297" t="s">
        <v>96</v>
      </c>
      <c r="E297" t="str">
        <f t="shared" si="164"/>
        <v>PJ/yr.</v>
      </c>
      <c r="F297" s="1">
        <f>'[1]Electricity and CHPs_IN'!B$18</f>
        <v>0.11568658548585721</v>
      </c>
      <c r="G297" s="1">
        <f>'[1]Electricity and CHPs_IN'!C$18</f>
        <v>9.5334142777929454E-4</v>
      </c>
      <c r="H297" s="1">
        <f>'[1]Electricity and CHPs_IN'!D$18</f>
        <v>3.5039537551136216E-3</v>
      </c>
      <c r="I297" s="1">
        <f>'[1]Electricity and CHPs_IN'!E$18</f>
        <v>1.4988103314107512E-3</v>
      </c>
      <c r="J297" s="1">
        <f>'[1]Electricity and CHPs_IN'!F$18</f>
        <v>3.0452770506633644E-3</v>
      </c>
      <c r="K297" s="1">
        <f>'[1]Electricity and CHPs_IN'!G$18</f>
        <v>9.9776914928213041E-4</v>
      </c>
    </row>
    <row r="298" spans="1:13" x14ac:dyDescent="0.25">
      <c r="A298" s="5" t="s">
        <v>5</v>
      </c>
      <c r="B298" s="5" t="str">
        <f t="shared" si="139"/>
        <v>SPS4</v>
      </c>
      <c r="C298" s="5" t="s">
        <v>7</v>
      </c>
      <c r="D298" t="s">
        <v>230</v>
      </c>
      <c r="E298" t="str">
        <f t="shared" si="164"/>
        <v>PJ/yr.</v>
      </c>
      <c r="F298" s="1">
        <f>IFERROR(F70/SUM(F70,F183),0)*'[1]Electricity and CHPs_IN'!B$28</f>
        <v>3.042642475437589E-3</v>
      </c>
      <c r="G298" s="1">
        <f>IFERROR(G70/SUM(G70,G183),0)*'[1]Electricity and CHPs_IN'!C$28</f>
        <v>2.1849367060242713E-4</v>
      </c>
      <c r="H298" s="1">
        <f>IFERROR(H70/SUM(H70,H183),0)*'[1]Electricity and CHPs_IN'!D$28</f>
        <v>5.9858374653414339E-4</v>
      </c>
      <c r="I298" s="1">
        <f>IFERROR(I70/SUM(I70,I183),0)*'[1]Electricity and CHPs_IN'!E$28</f>
        <v>3.7257568706972196E-4</v>
      </c>
      <c r="J298" s="1">
        <f>IFERROR(J70/SUM(J70,J183),0)*'[1]Electricity and CHPs_IN'!F$28</f>
        <v>3.7066630652798736E-4</v>
      </c>
      <c r="K298" s="1">
        <f>IFERROR(K70/SUM(K70,K183),0)*'[1]Electricity and CHPs_IN'!G$28</f>
        <v>1.2429048400320732E-4</v>
      </c>
      <c r="M298" s="1"/>
    </row>
    <row r="299" spans="1:13" x14ac:dyDescent="0.25">
      <c r="A299" s="5" t="s">
        <v>5</v>
      </c>
      <c r="B299" s="5" t="str">
        <f t="shared" si="139"/>
        <v>SPS4</v>
      </c>
      <c r="C299" s="5" t="s">
        <v>7</v>
      </c>
      <c r="D299" t="s">
        <v>97</v>
      </c>
      <c r="E299" t="str">
        <f t="shared" si="164"/>
        <v>PJ/yr.</v>
      </c>
      <c r="F299" s="1">
        <f>IFERROR(F71/SUM(F71,F233),0)*'[1]Electricity and CHPs_IN'!B$41</f>
        <v>2.0634421283620447E-2</v>
      </c>
      <c r="G299" s="1">
        <f>IFERROR(G71/SUM(G71,G233),0)*'[1]Electricity and CHPs_IN'!C$41</f>
        <v>5.3098486965746663E-2</v>
      </c>
      <c r="H299" s="1">
        <f>IFERROR(H71/SUM(H71,H233),0)*'[1]Electricity and CHPs_IN'!D$41</f>
        <v>2.14080612291499E-2</v>
      </c>
      <c r="I299" s="1">
        <f>IFERROR(I71/SUM(I71,I233),0)*'[1]Electricity and CHPs_IN'!E$41</f>
        <v>7.4659236939217749E-2</v>
      </c>
      <c r="J299" s="1">
        <f>IFERROR(J71/SUM(J71,J233),0)*'[1]Electricity and CHPs_IN'!F$41</f>
        <v>3.0371414288037135E-2</v>
      </c>
      <c r="K299" s="1">
        <f>IFERROR(K71/SUM(K71,K233),0)*'[1]Electricity and CHPs_IN'!G$41</f>
        <v>4.3259381505110522E-2</v>
      </c>
    </row>
    <row r="300" spans="1:13" x14ac:dyDescent="0.25">
      <c r="A300" s="5" t="s">
        <v>5</v>
      </c>
      <c r="B300" s="5" t="str">
        <f t="shared" si="139"/>
        <v>SPS4</v>
      </c>
      <c r="C300" s="5" t="s">
        <v>7</v>
      </c>
      <c r="D300" t="s">
        <v>849</v>
      </c>
      <c r="E300" t="str">
        <f t="shared" si="164"/>
        <v>PJ/yr.</v>
      </c>
      <c r="F300" s="1">
        <f>F296</f>
        <v>0.13936364924491523</v>
      </c>
      <c r="G300" s="1">
        <f t="shared" ref="G300:K300" si="167">G296</f>
        <v>5.4270322064128386E-2</v>
      </c>
      <c r="H300" s="1">
        <f t="shared" si="167"/>
        <v>2.5510598730797664E-2</v>
      </c>
      <c r="I300" s="1">
        <f t="shared" si="167"/>
        <v>7.6530622957698219E-2</v>
      </c>
      <c r="J300" s="1">
        <f t="shared" si="167"/>
        <v>3.3787357645228486E-2</v>
      </c>
      <c r="K300" s="1">
        <f t="shared" si="167"/>
        <v>4.4381441138395858E-2</v>
      </c>
    </row>
    <row r="301" spans="1:13" x14ac:dyDescent="0.25">
      <c r="A301" s="5" t="s">
        <v>5</v>
      </c>
      <c r="B301" s="5" t="str">
        <f t="shared" si="139"/>
        <v>SPS4</v>
      </c>
      <c r="C301" s="5" t="s">
        <v>7</v>
      </c>
      <c r="D301" t="s">
        <v>520</v>
      </c>
      <c r="E301" t="str">
        <f t="shared" si="164"/>
        <v>PJ/yr.</v>
      </c>
      <c r="F301" s="1">
        <f t="shared" ref="F301:K301" si="168">F297</f>
        <v>0.11568658548585721</v>
      </c>
      <c r="G301" s="1">
        <f t="shared" si="168"/>
        <v>9.5334142777929454E-4</v>
      </c>
      <c r="H301" s="1">
        <f t="shared" si="168"/>
        <v>3.5039537551136216E-3</v>
      </c>
      <c r="I301" s="1">
        <f t="shared" si="168"/>
        <v>1.4988103314107512E-3</v>
      </c>
      <c r="J301" s="1">
        <f t="shared" si="168"/>
        <v>3.0452770506633644E-3</v>
      </c>
      <c r="K301" s="1">
        <f t="shared" si="168"/>
        <v>9.9776914928213041E-4</v>
      </c>
    </row>
    <row r="302" spans="1:13" x14ac:dyDescent="0.25">
      <c r="A302" s="5" t="s">
        <v>5</v>
      </c>
      <c r="B302" s="5" t="str">
        <f t="shared" si="139"/>
        <v>SPS4</v>
      </c>
      <c r="C302" s="5" t="s">
        <v>7</v>
      </c>
      <c r="D302" t="s">
        <v>521</v>
      </c>
      <c r="E302" t="str">
        <f t="shared" si="164"/>
        <v>PJ/yr.</v>
      </c>
      <c r="F302" s="1">
        <f t="shared" ref="F302:K302" si="169">F298</f>
        <v>3.042642475437589E-3</v>
      </c>
      <c r="G302" s="1">
        <f t="shared" si="169"/>
        <v>2.1849367060242713E-4</v>
      </c>
      <c r="H302" s="1">
        <f t="shared" si="169"/>
        <v>5.9858374653414339E-4</v>
      </c>
      <c r="I302" s="1">
        <f t="shared" si="169"/>
        <v>3.7257568706972196E-4</v>
      </c>
      <c r="J302" s="1">
        <f t="shared" si="169"/>
        <v>3.7066630652798736E-4</v>
      </c>
      <c r="K302" s="1">
        <f t="shared" si="169"/>
        <v>1.2429048400320732E-4</v>
      </c>
    </row>
    <row r="303" spans="1:13" x14ac:dyDescent="0.25">
      <c r="A303" s="5" t="s">
        <v>5</v>
      </c>
      <c r="B303" s="5" t="str">
        <f t="shared" si="139"/>
        <v>SPS4</v>
      </c>
      <c r="C303" s="5" t="s">
        <v>7</v>
      </c>
      <c r="D303" t="s">
        <v>522</v>
      </c>
      <c r="E303" t="str">
        <f t="shared" si="164"/>
        <v>PJ/yr.</v>
      </c>
      <c r="F303" s="1">
        <f t="shared" ref="F303:K303" si="170">F299</f>
        <v>2.0634421283620447E-2</v>
      </c>
      <c r="G303" s="1">
        <f t="shared" si="170"/>
        <v>5.3098486965746663E-2</v>
      </c>
      <c r="H303" s="1">
        <f t="shared" si="170"/>
        <v>2.14080612291499E-2</v>
      </c>
      <c r="I303" s="1">
        <f t="shared" si="170"/>
        <v>7.4659236939217749E-2</v>
      </c>
      <c r="J303" s="1">
        <f t="shared" si="170"/>
        <v>3.0371414288037135E-2</v>
      </c>
      <c r="K303" s="1">
        <f t="shared" si="170"/>
        <v>4.3259381505110522E-2</v>
      </c>
    </row>
    <row r="304" spans="1:13" x14ac:dyDescent="0.25">
      <c r="A304" s="5" t="s">
        <v>5</v>
      </c>
      <c r="B304" s="5" t="str">
        <f t="shared" si="139"/>
        <v>SPS4</v>
      </c>
      <c r="C304" s="5" t="s">
        <v>7</v>
      </c>
      <c r="D304" t="s">
        <v>850</v>
      </c>
      <c r="E304" t="str">
        <f t="shared" si="164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tr">
        <f t="shared" si="139"/>
        <v>SPS4</v>
      </c>
      <c r="C305" s="5" t="s">
        <v>7</v>
      </c>
      <c r="D305" t="s">
        <v>544</v>
      </c>
      <c r="E305" t="str">
        <f t="shared" si="164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tr">
        <f t="shared" si="139"/>
        <v>SPS4</v>
      </c>
      <c r="C306" s="5" t="s">
        <v>7</v>
      </c>
      <c r="D306" t="s">
        <v>545</v>
      </c>
      <c r="E306" t="str">
        <f t="shared" si="164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tr">
        <f t="shared" si="139"/>
        <v>SPS4</v>
      </c>
      <c r="C307" s="5" t="s">
        <v>7</v>
      </c>
      <c r="D307" t="s">
        <v>546</v>
      </c>
      <c r="E307" t="str">
        <f t="shared" si="164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tr">
        <f t="shared" ref="B308:B371" si="171">B307</f>
        <v>SPS4</v>
      </c>
      <c r="C308" s="5" t="s">
        <v>7</v>
      </c>
      <c r="D308" t="s">
        <v>851</v>
      </c>
      <c r="E308" t="str">
        <f t="shared" si="164"/>
        <v>PJ/yr.</v>
      </c>
      <c r="F308" s="1">
        <f>SUM(F309:F323)</f>
        <v>4.0448763748748338</v>
      </c>
      <c r="G308" s="1">
        <f t="shared" ref="G308:K308" si="172">SUM(G309:G323)</f>
        <v>2.1745329177729942</v>
      </c>
      <c r="H308" s="1">
        <f t="shared" si="172"/>
        <v>1.4021078973885317</v>
      </c>
      <c r="I308" s="1">
        <f t="shared" si="172"/>
        <v>2.0715513814851949</v>
      </c>
      <c r="J308" s="1">
        <f t="shared" si="172"/>
        <v>2.9722568405197314</v>
      </c>
      <c r="K308" s="1">
        <f t="shared" si="172"/>
        <v>2.3312281511452686</v>
      </c>
    </row>
    <row r="309" spans="1:11" x14ac:dyDescent="0.25">
      <c r="A309" s="5" t="s">
        <v>5</v>
      </c>
      <c r="B309" s="5" t="str">
        <f t="shared" si="171"/>
        <v>SPS4</v>
      </c>
      <c r="C309" s="5" t="s">
        <v>7</v>
      </c>
      <c r="D309" t="s">
        <v>98</v>
      </c>
      <c r="E309" t="str">
        <f t="shared" si="164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2.199021605265692E-2</v>
      </c>
      <c r="K309" s="1">
        <f>'[1]Electricity and CHPs_IN'!G$21</f>
        <v>3.8472117343576529E-3</v>
      </c>
    </row>
    <row r="310" spans="1:11" x14ac:dyDescent="0.25">
      <c r="A310" s="5" t="s">
        <v>5</v>
      </c>
      <c r="B310" s="5" t="str">
        <f t="shared" si="171"/>
        <v>SPS4</v>
      </c>
      <c r="C310" s="5" t="s">
        <v>7</v>
      </c>
      <c r="D310" t="s">
        <v>99</v>
      </c>
      <c r="E310" t="str">
        <f t="shared" si="164"/>
        <v>PJ/yr.</v>
      </c>
      <c r="F310" s="1">
        <f>'[1]Electricity and CHPs_IN'!B$22</f>
        <v>0</v>
      </c>
      <c r="G310" s="1">
        <f>'[1]Electricity and CHPs_IN'!C$22</f>
        <v>1.5321181484580656E-3</v>
      </c>
      <c r="H310" s="1">
        <f>'[1]Electricity and CHPs_IN'!D$22</f>
        <v>5.1074836343770981E-3</v>
      </c>
      <c r="I310" s="1">
        <f>'[1]Electricity and CHPs_IN'!E$22</f>
        <v>3.934488730493649E-3</v>
      </c>
      <c r="J310" s="1">
        <f>'[1]Electricity and CHPs_IN'!F$22</f>
        <v>0.15511061503943521</v>
      </c>
      <c r="K310" s="1">
        <f>'[1]Electricity and CHPs_IN'!G$22</f>
        <v>1.6557927232339998E-2</v>
      </c>
    </row>
    <row r="311" spans="1:11" x14ac:dyDescent="0.25">
      <c r="A311" s="5" t="s">
        <v>5</v>
      </c>
      <c r="B311" s="5" t="str">
        <f t="shared" si="171"/>
        <v>SPS4</v>
      </c>
      <c r="C311" s="5" t="s">
        <v>7</v>
      </c>
      <c r="D311" t="s">
        <v>100</v>
      </c>
      <c r="E311" t="str">
        <f t="shared" si="164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9.0084832855036307E-5</v>
      </c>
      <c r="K311" s="1">
        <f>'[1]Electricity and CHPs_IN'!G$23</f>
        <v>3.614316217596877E-5</v>
      </c>
    </row>
    <row r="312" spans="1:11" x14ac:dyDescent="0.25">
      <c r="A312" s="5" t="s">
        <v>5</v>
      </c>
      <c r="B312" s="5" t="str">
        <f t="shared" si="171"/>
        <v>SPS4</v>
      </c>
      <c r="C312" s="5" t="s">
        <v>7</v>
      </c>
      <c r="D312" t="s">
        <v>101</v>
      </c>
      <c r="E312" t="str">
        <f t="shared" si="164"/>
        <v>PJ/yr.</v>
      </c>
      <c r="F312" s="1">
        <f>IFERROR(F84/SUM(F84+F187),0)*'[1]Electricity and CHPs_IN'!B$24</f>
        <v>1.2804814985109689</v>
      </c>
      <c r="G312" s="1">
        <f>IFERROR(G84/SUM(G84+G187),0)*'[1]Electricity and CHPs_IN'!C$24</f>
        <v>7.9983504460102051E-4</v>
      </c>
      <c r="H312" s="1">
        <f>IFERROR(H84/SUM(H84+H187),0)*'[1]Electricity and CHPs_IN'!D$24</f>
        <v>1.4917003134527519E-3</v>
      </c>
      <c r="I312" s="1">
        <f>IFERROR(I84/SUM(I84+I187),0)*'[1]Electricity and CHPs_IN'!E$24</f>
        <v>3.2237082758869991E-3</v>
      </c>
      <c r="J312" s="1">
        <f>IFERROR(J84/SUM(J84+J187),0)*'[1]Electricity and CHPs_IN'!F$24</f>
        <v>2.8325097360798485E-3</v>
      </c>
      <c r="K312" s="1">
        <f>IFERROR(K84/SUM(K84+K187),0)*'[1]Electricity and CHPs_IN'!G$24</f>
        <v>3.1180790672649965E-4</v>
      </c>
    </row>
    <row r="313" spans="1:11" x14ac:dyDescent="0.25">
      <c r="A313" s="5" t="s">
        <v>5</v>
      </c>
      <c r="B313" s="5" t="str">
        <f t="shared" si="171"/>
        <v>SPS4</v>
      </c>
      <c r="C313" s="5" t="s">
        <v>7</v>
      </c>
      <c r="D313" t="s">
        <v>102</v>
      </c>
      <c r="E313" t="str">
        <f t="shared" si="164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3.9892443903025198E-3</v>
      </c>
      <c r="K313" s="1">
        <f>IFERROR(K85/SUM(K85+K188),0)*'[1]Electricity and CHPs_IN'!G$29</f>
        <v>8.2448703257324526E-4</v>
      </c>
    </row>
    <row r="314" spans="1:11" x14ac:dyDescent="0.25">
      <c r="A314" s="5" t="s">
        <v>5</v>
      </c>
      <c r="B314" s="5" t="str">
        <f t="shared" si="171"/>
        <v>SPS4</v>
      </c>
      <c r="C314" s="5" t="s">
        <v>7</v>
      </c>
      <c r="D314" t="s">
        <v>103</v>
      </c>
      <c r="E314" t="str">
        <f t="shared" si="164"/>
        <v>PJ/yr.</v>
      </c>
      <c r="F314" s="1">
        <f>F86/SUM(F86,F239)*'[1]Electricity and CHPs_IN'!B$39</f>
        <v>0.89328546901338357</v>
      </c>
      <c r="G314" s="1">
        <f>G86/SUM(G86,G239)*'[1]Electricity and CHPs_IN'!C$39</f>
        <v>0.12209569787785333</v>
      </c>
      <c r="H314" s="1">
        <f>H86/SUM(H86,H239)*'[1]Electricity and CHPs_IN'!D$39</f>
        <v>7.7699016530559759E-2</v>
      </c>
      <c r="I314" s="1">
        <f>I86/SUM(I86,I239)*'[1]Electricity and CHPs_IN'!E$39</f>
        <v>0.42254761131197072</v>
      </c>
      <c r="J314" s="1">
        <f>J86/SUM(J86,J239)*'[1]Electricity and CHPs_IN'!F$39</f>
        <v>6.804392674869511E-2</v>
      </c>
      <c r="K314" s="1">
        <f>K86/SUM(K86,K239)*'[1]Electricity and CHPs_IN'!G$39</f>
        <v>1.9068806445841777E-2</v>
      </c>
    </row>
    <row r="315" spans="1:11" x14ac:dyDescent="0.25">
      <c r="A315" s="5" t="s">
        <v>5</v>
      </c>
      <c r="B315" s="5" t="str">
        <f t="shared" si="171"/>
        <v>SPS4</v>
      </c>
      <c r="C315" s="5" t="s">
        <v>7</v>
      </c>
      <c r="D315" t="s">
        <v>104</v>
      </c>
      <c r="E315" t="str">
        <f t="shared" si="164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 x14ac:dyDescent="0.25">
      <c r="A316" s="5" t="s">
        <v>5</v>
      </c>
      <c r="B316" s="5" t="str">
        <f t="shared" si="171"/>
        <v>SPS4</v>
      </c>
      <c r="C316" s="5" t="s">
        <v>7</v>
      </c>
      <c r="D316" t="s">
        <v>105</v>
      </c>
      <c r="E316" t="str">
        <f t="shared" si="164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tr">
        <f t="shared" si="171"/>
        <v>SPS4</v>
      </c>
      <c r="C317" s="5" t="s">
        <v>7</v>
      </c>
      <c r="D317" t="s">
        <v>106</v>
      </c>
      <c r="E317" t="str">
        <f t="shared" si="164"/>
        <v>PJ/yr.</v>
      </c>
      <c r="F317" s="1">
        <f>F89/SUM(F89,F242)*'[1]Electricity and CHPs_IN'!B$48</f>
        <v>1.5589505625062656E-2</v>
      </c>
      <c r="G317" s="1">
        <f>G89/SUM(G89,G242)*'[1]Electricity and CHPs_IN'!C$48</f>
        <v>2.3848051459793487E-3</v>
      </c>
      <c r="H317" s="1">
        <f>H89/SUM(H89,H242)*'[1]Electricity and CHPs_IN'!D$48</f>
        <v>2.5091251333221307E-3</v>
      </c>
      <c r="I317" s="1">
        <f>I89/SUM(I89,I242)*'[1]Electricity and CHPs_IN'!E$48</f>
        <v>7.0755503135026768E-3</v>
      </c>
      <c r="J317" s="1">
        <f>J89/SUM(J89,J242)*'[1]Electricity and CHPs_IN'!F$48</f>
        <v>1.0852922084326091E-3</v>
      </c>
      <c r="K317" s="1">
        <f>K89/SUM(K89,K242)*'[1]Electricity and CHPs_IN'!G$48</f>
        <v>3.0193432455330579E-4</v>
      </c>
    </row>
    <row r="318" spans="1:11" x14ac:dyDescent="0.25">
      <c r="A318" s="5" t="s">
        <v>5</v>
      </c>
      <c r="B318" s="5" t="str">
        <f t="shared" si="171"/>
        <v>SPS4</v>
      </c>
      <c r="C318" s="5" t="s">
        <v>7</v>
      </c>
      <c r="D318" t="s">
        <v>107</v>
      </c>
      <c r="E318" t="str">
        <f t="shared" si="164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2.5389351415159076E-4</v>
      </c>
      <c r="J318" s="1">
        <f>IFERROR(J90/SUM(J90,J243),0)*'[1]Electricity and CHPs_IN'!F$49</f>
        <v>8.0476689084954772E-4</v>
      </c>
      <c r="K318" s="1">
        <f>IFERROR(K90/SUM(K90,K243),0)*'[1]Electricity and CHPs_IN'!G$49</f>
        <v>6.4688538864619317E-4</v>
      </c>
    </row>
    <row r="319" spans="1:11" x14ac:dyDescent="0.25">
      <c r="A319" s="5" t="s">
        <v>5</v>
      </c>
      <c r="B319" s="5" t="str">
        <f t="shared" si="171"/>
        <v>SPS4</v>
      </c>
      <c r="C319" s="5" t="s">
        <v>7</v>
      </c>
      <c r="D319" t="s">
        <v>108</v>
      </c>
      <c r="E319" t="str">
        <f t="shared" si="164"/>
        <v>PJ/yr.</v>
      </c>
      <c r="F319" s="1">
        <f>IFERROR(F91/SUM(F91,F244),0)*'[1]Electricity and CHPs_IN'!B$51</f>
        <v>2.5684729439144186E-2</v>
      </c>
      <c r="G319" s="1">
        <f>IFERROR(G91/SUM(G91,G244),0)*'[1]Electricity and CHPs_IN'!C$51</f>
        <v>1.9496685048650964E-3</v>
      </c>
      <c r="H319" s="1">
        <f>IFERROR(H91/SUM(H91,H244),0)*'[1]Electricity and CHPs_IN'!D$51</f>
        <v>1.865515190578625E-3</v>
      </c>
      <c r="I319" s="1">
        <f>IFERROR(I91/SUM(I91,I244),0)*'[1]Electricity and CHPs_IN'!E$51</f>
        <v>0.23993336489581668</v>
      </c>
      <c r="J319" s="1">
        <f>IFERROR(J91/SUM(J91,J244),0)*'[1]Electricity and CHPs_IN'!F$51</f>
        <v>1.1281846260376338</v>
      </c>
      <c r="K319" s="1">
        <f>IFERROR(K91/SUM(K91,K244),0)*'[1]Electricity and CHPs_IN'!G$51</f>
        <v>0.77017382416630809</v>
      </c>
    </row>
    <row r="320" spans="1:11" x14ac:dyDescent="0.25">
      <c r="A320" s="5" t="s">
        <v>5</v>
      </c>
      <c r="B320" s="5" t="str">
        <f t="shared" si="171"/>
        <v>SPS4</v>
      </c>
      <c r="C320" s="5" t="s">
        <v>7</v>
      </c>
      <c r="D320" t="s">
        <v>109</v>
      </c>
      <c r="E320" t="str">
        <f t="shared" si="164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1.0566151572819311E-3</v>
      </c>
      <c r="J320" s="1">
        <f>IFERROR(J92/SUM(J92,J245),0)*'[1]Electricity and CHPs_IN'!F$52</f>
        <v>8.1987268067047619E-3</v>
      </c>
      <c r="K320" s="1">
        <f>IFERROR(K92/SUM(K92,K245),0)*'[1]Electricity and CHPs_IN'!G$52</f>
        <v>6.8762625900687258E-3</v>
      </c>
    </row>
    <row r="321" spans="1:11" x14ac:dyDescent="0.25">
      <c r="A321" s="5" t="s">
        <v>5</v>
      </c>
      <c r="B321" s="5" t="str">
        <f t="shared" si="171"/>
        <v>SPS4</v>
      </c>
      <c r="C321" s="5" t="s">
        <v>7</v>
      </c>
      <c r="D321" t="s">
        <v>110</v>
      </c>
      <c r="E321" t="str">
        <f t="shared" si="164"/>
        <v>PJ/yr.</v>
      </c>
      <c r="F321" s="1">
        <f>IFERROR(F93/SUM(F93,F246),0)*'[1]Electricity and CHPs_IN'!B$54</f>
        <v>1.0646927331553513</v>
      </c>
      <c r="G321" s="1">
        <f>IFERROR(G93/SUM(G93,G246),0)*'[1]Electricity and CHPs_IN'!C$54</f>
        <v>1.2550255229503255</v>
      </c>
      <c r="H321" s="1">
        <f>IFERROR(H93/SUM(H93,H246),0)*'[1]Electricity and CHPs_IN'!D$54</f>
        <v>1.299579961970988</v>
      </c>
      <c r="I321" s="1">
        <f>IFERROR(I93/SUM(I93,I246),0)*'[1]Electricity and CHPs_IN'!E$54</f>
        <v>1.3801396817172296</v>
      </c>
      <c r="J321" s="1">
        <f>IFERROR(J93/SUM(J93,J246),0)*'[1]Electricity and CHPs_IN'!F$54</f>
        <v>1.5446460577114136</v>
      </c>
      <c r="K321" s="1">
        <f>IFERROR(K93/SUM(K93,K246),0)*'[1]Electricity and CHPs_IN'!G$54</f>
        <v>1.5036681419279541</v>
      </c>
    </row>
    <row r="322" spans="1:11" x14ac:dyDescent="0.25">
      <c r="A322" s="5" t="s">
        <v>5</v>
      </c>
      <c r="B322" s="5" t="str">
        <f t="shared" si="171"/>
        <v>SPS4</v>
      </c>
      <c r="C322" s="5" t="s">
        <v>7</v>
      </c>
      <c r="D322" t="s">
        <v>111</v>
      </c>
      <c r="E322" t="str">
        <f t="shared" si="164"/>
        <v>PJ/yr.</v>
      </c>
      <c r="F322" s="1">
        <f>IFERROR(F94/SUM(F94,F247),0)*'[1]Electricity and CHPs_IN'!B$55</f>
        <v>0.76514243913092228</v>
      </c>
      <c r="G322" s="1">
        <f>IFERROR(G94/SUM(G94,G247),0)*'[1]Electricity and CHPs_IN'!C$55</f>
        <v>0.79074527010091167</v>
      </c>
      <c r="H322" s="1">
        <f>IFERROR(H94/SUM(H94,H247),0)*'[1]Electricity and CHPs_IN'!D$55</f>
        <v>1.3855094615253414E-2</v>
      </c>
      <c r="I322" s="1">
        <f>IFERROR(I94/SUM(I94,I247),0)*'[1]Electricity and CHPs_IN'!E$55</f>
        <v>1.316471512244397E-2</v>
      </c>
      <c r="J322" s="1">
        <f>IFERROR(J94/SUM(J94,J247),0)*'[1]Electricity and CHPs_IN'!F$55</f>
        <v>2.8739904213163796E-2</v>
      </c>
      <c r="K322" s="1">
        <f>IFERROR(K94/SUM(K94,K247),0)*'[1]Electricity and CHPs_IN'!G$55</f>
        <v>5.6170629008355617E-4</v>
      </c>
    </row>
    <row r="323" spans="1:11" x14ac:dyDescent="0.25">
      <c r="A323" s="5" t="s">
        <v>5</v>
      </c>
      <c r="B323" s="5" t="str">
        <f t="shared" si="171"/>
        <v>SPS4</v>
      </c>
      <c r="C323" s="5" t="s">
        <v>7</v>
      </c>
      <c r="D323" t="s">
        <v>112</v>
      </c>
      <c r="E323" t="str">
        <f t="shared" si="164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2.2175244641695489E-4</v>
      </c>
      <c r="J323" s="1">
        <f>IFERROR(J95/SUM(J95,J248),0)*'[1]Electricity and CHPs_IN'!F$58</f>
        <v>8.5408698515087016E-3</v>
      </c>
      <c r="K323" s="1">
        <f>IFERROR(K95/SUM(K95,K248),0)*'[1]Electricity and CHPs_IN'!G$58</f>
        <v>8.3530129436397323E-3</v>
      </c>
    </row>
    <row r="324" spans="1:11" x14ac:dyDescent="0.25">
      <c r="A324" s="5" t="s">
        <v>5</v>
      </c>
      <c r="B324" s="5" t="str">
        <f t="shared" si="171"/>
        <v>SPS4</v>
      </c>
      <c r="C324" s="5" t="s">
        <v>7</v>
      </c>
      <c r="D324" t="s">
        <v>852</v>
      </c>
      <c r="E324" t="str">
        <f t="shared" si="164"/>
        <v>PJ/yr.</v>
      </c>
      <c r="F324" s="1">
        <f>F308-F340</f>
        <v>2.9033735033812698</v>
      </c>
      <c r="G324" s="1">
        <f t="shared" ref="G324:K324" si="173">G308-G340</f>
        <v>0.89134416720854714</v>
      </c>
      <c r="H324" s="1">
        <f t="shared" si="173"/>
        <v>9.915190386388395E-2</v>
      </c>
      <c r="I324" s="1">
        <f t="shared" si="173"/>
        <v>0.67085353012959592</v>
      </c>
      <c r="J324" s="1">
        <f t="shared" si="173"/>
        <v>1.4225407824635616</v>
      </c>
      <c r="K324" s="1">
        <f t="shared" si="173"/>
        <v>0.82367178399891983</v>
      </c>
    </row>
    <row r="325" spans="1:11" x14ac:dyDescent="0.25">
      <c r="A325" s="5" t="s">
        <v>5</v>
      </c>
      <c r="B325" s="5" t="str">
        <f t="shared" si="171"/>
        <v>SPS4</v>
      </c>
      <c r="C325" s="5" t="s">
        <v>7</v>
      </c>
      <c r="D325" t="s">
        <v>579</v>
      </c>
      <c r="E325" t="str">
        <f t="shared" si="164"/>
        <v>PJ/yr.</v>
      </c>
      <c r="F325" s="1">
        <f>IFERROR(F97/F81,0)*F309</f>
        <v>0</v>
      </c>
      <c r="G325" s="1">
        <f t="shared" ref="G325:K325" si="174">IFERROR(G97/G81,0)*G309</f>
        <v>0</v>
      </c>
      <c r="H325" s="1">
        <f t="shared" si="174"/>
        <v>0</v>
      </c>
      <c r="I325" s="1">
        <f t="shared" si="174"/>
        <v>0</v>
      </c>
      <c r="J325" s="1">
        <f t="shared" si="174"/>
        <v>2.1913503036736386E-2</v>
      </c>
      <c r="K325" s="1">
        <f t="shared" si="174"/>
        <v>3.8293031568575986E-3</v>
      </c>
    </row>
    <row r="326" spans="1:11" x14ac:dyDescent="0.25">
      <c r="A326" s="5" t="s">
        <v>5</v>
      </c>
      <c r="B326" s="5" t="str">
        <f t="shared" si="171"/>
        <v>SPS4</v>
      </c>
      <c r="C326" s="5" t="s">
        <v>7</v>
      </c>
      <c r="D326" t="s">
        <v>580</v>
      </c>
      <c r="E326" t="str">
        <f t="shared" si="164"/>
        <v>PJ/yr.</v>
      </c>
      <c r="F326" s="1">
        <f t="shared" ref="F326:K326" si="175">IFERROR(F98/F82,0)*F310</f>
        <v>0</v>
      </c>
      <c r="G326" s="1">
        <f t="shared" si="175"/>
        <v>1.4851915088359097E-3</v>
      </c>
      <c r="H326" s="1">
        <f t="shared" si="175"/>
        <v>4.939304826920999E-3</v>
      </c>
      <c r="I326" s="1">
        <f t="shared" si="175"/>
        <v>3.8175021553620942E-3</v>
      </c>
      <c r="J326" s="1">
        <f t="shared" si="175"/>
        <v>0.15456951062043037</v>
      </c>
      <c r="K326" s="1">
        <f t="shared" si="175"/>
        <v>1.6480850912252785E-2</v>
      </c>
    </row>
    <row r="327" spans="1:11" x14ac:dyDescent="0.25">
      <c r="A327" s="5" t="s">
        <v>5</v>
      </c>
      <c r="B327" s="5" t="str">
        <f t="shared" si="171"/>
        <v>SPS4</v>
      </c>
      <c r="C327" s="5" t="s">
        <v>7</v>
      </c>
      <c r="D327" t="s">
        <v>581</v>
      </c>
      <c r="E327" t="str">
        <f t="shared" si="164"/>
        <v>PJ/yr.</v>
      </c>
      <c r="F327" s="1">
        <f t="shared" ref="F327:K327" si="176">IFERROR(F99/F83,0)*F311</f>
        <v>0</v>
      </c>
      <c r="G327" s="1">
        <f t="shared" si="176"/>
        <v>0</v>
      </c>
      <c r="H327" s="1">
        <f t="shared" si="176"/>
        <v>0</v>
      </c>
      <c r="I327" s="1">
        <f t="shared" si="176"/>
        <v>0</v>
      </c>
      <c r="J327" s="1">
        <f t="shared" si="176"/>
        <v>0</v>
      </c>
      <c r="K327" s="1">
        <f t="shared" si="176"/>
        <v>0</v>
      </c>
    </row>
    <row r="328" spans="1:11" x14ac:dyDescent="0.25">
      <c r="A328" s="5" t="s">
        <v>5</v>
      </c>
      <c r="B328" s="5" t="str">
        <f t="shared" si="171"/>
        <v>SPS4</v>
      </c>
      <c r="C328" s="5" t="s">
        <v>7</v>
      </c>
      <c r="D328" t="s">
        <v>582</v>
      </c>
      <c r="E328" t="str">
        <f t="shared" si="164"/>
        <v>PJ/yr.</v>
      </c>
      <c r="F328" s="1">
        <f t="shared" ref="F328:K328" si="177">IFERROR(F100/F84,0)*F312</f>
        <v>1.247478847377899</v>
      </c>
      <c r="G328" s="1">
        <f t="shared" si="177"/>
        <v>7.7533721397814257E-4</v>
      </c>
      <c r="H328" s="1">
        <f t="shared" si="177"/>
        <v>1.4425817263446468E-3</v>
      </c>
      <c r="I328" s="1">
        <f t="shared" si="177"/>
        <v>3.1278557735030486E-3</v>
      </c>
      <c r="J328" s="1">
        <f t="shared" si="177"/>
        <v>2.8226285069023519E-3</v>
      </c>
      <c r="K328" s="1">
        <f t="shared" si="177"/>
        <v>3.1035645657290581E-4</v>
      </c>
    </row>
    <row r="329" spans="1:11" x14ac:dyDescent="0.25">
      <c r="A329" s="5" t="s">
        <v>5</v>
      </c>
      <c r="B329" s="5" t="str">
        <f t="shared" si="171"/>
        <v>SPS4</v>
      </c>
      <c r="C329" s="5" t="s">
        <v>7</v>
      </c>
      <c r="D329" t="s">
        <v>583</v>
      </c>
      <c r="E329" t="str">
        <f t="shared" si="164"/>
        <v>PJ/yr.</v>
      </c>
      <c r="F329" s="1">
        <f t="shared" ref="F329:K329" si="178">IFERROR(F101/F85,0)*F313</f>
        <v>0</v>
      </c>
      <c r="G329" s="1">
        <f t="shared" si="178"/>
        <v>0</v>
      </c>
      <c r="H329" s="1">
        <f t="shared" si="178"/>
        <v>0</v>
      </c>
      <c r="I329" s="1">
        <f t="shared" si="178"/>
        <v>0</v>
      </c>
      <c r="J329" s="1">
        <f t="shared" si="178"/>
        <v>3.9753278845396211E-3</v>
      </c>
      <c r="K329" s="1">
        <f t="shared" si="178"/>
        <v>8.2064908682444088E-4</v>
      </c>
    </row>
    <row r="330" spans="1:11" x14ac:dyDescent="0.25">
      <c r="A330" s="5" t="s">
        <v>5</v>
      </c>
      <c r="B330" s="5" t="str">
        <f t="shared" si="171"/>
        <v>SPS4</v>
      </c>
      <c r="C330" s="5" t="s">
        <v>7</v>
      </c>
      <c r="D330" t="s">
        <v>584</v>
      </c>
      <c r="E330" t="str">
        <f t="shared" si="164"/>
        <v>PJ/yr.</v>
      </c>
      <c r="F330" s="1">
        <f t="shared" ref="F330:K330" si="179">IFERROR(F102/F86,0)*F314</f>
        <v>0.87026226350016711</v>
      </c>
      <c r="G330" s="1">
        <f t="shared" si="179"/>
        <v>0.11835607713157087</v>
      </c>
      <c r="H330" s="1">
        <f t="shared" si="179"/>
        <v>7.5140549607108725E-2</v>
      </c>
      <c r="I330" s="1">
        <f t="shared" si="179"/>
        <v>0.40998374310355812</v>
      </c>
      <c r="J330" s="1">
        <f t="shared" si="179"/>
        <v>6.7806555054689507E-2</v>
      </c>
      <c r="K330" s="1">
        <f t="shared" si="179"/>
        <v>1.8980042109057512E-2</v>
      </c>
    </row>
    <row r="331" spans="1:11" x14ac:dyDescent="0.25">
      <c r="A331" s="5" t="s">
        <v>5</v>
      </c>
      <c r="B331" s="5" t="str">
        <f t="shared" si="171"/>
        <v>SPS4</v>
      </c>
      <c r="C331" s="5" t="s">
        <v>7</v>
      </c>
      <c r="D331" t="s">
        <v>585</v>
      </c>
      <c r="E331" t="str">
        <f t="shared" si="164"/>
        <v>PJ/yr.</v>
      </c>
      <c r="F331" s="1">
        <f t="shared" ref="F331:K331" si="180">IFERROR(F103/F87,0)*F315</f>
        <v>0</v>
      </c>
      <c r="G331" s="1">
        <f t="shared" si="180"/>
        <v>0</v>
      </c>
      <c r="H331" s="1">
        <f t="shared" si="180"/>
        <v>0</v>
      </c>
      <c r="I331" s="1">
        <f t="shared" si="180"/>
        <v>0</v>
      </c>
      <c r="J331" s="1">
        <f t="shared" si="180"/>
        <v>0</v>
      </c>
      <c r="K331" s="1">
        <f t="shared" si="180"/>
        <v>0</v>
      </c>
    </row>
    <row r="332" spans="1:11" x14ac:dyDescent="0.25">
      <c r="A332" s="5" t="s">
        <v>5</v>
      </c>
      <c r="B332" s="5" t="str">
        <f t="shared" si="171"/>
        <v>SPS4</v>
      </c>
      <c r="C332" s="5" t="s">
        <v>7</v>
      </c>
      <c r="D332" t="s">
        <v>586</v>
      </c>
      <c r="E332" t="str">
        <f t="shared" si="164"/>
        <v>PJ/yr.</v>
      </c>
      <c r="F332" s="1">
        <f t="shared" ref="F332:K332" si="181">IFERROR(F104/F88,0)*F316</f>
        <v>0</v>
      </c>
      <c r="G332" s="1">
        <f t="shared" si="181"/>
        <v>0</v>
      </c>
      <c r="H332" s="1">
        <f t="shared" si="181"/>
        <v>0</v>
      </c>
      <c r="I332" s="1">
        <f t="shared" si="181"/>
        <v>0</v>
      </c>
      <c r="J332" s="1">
        <f t="shared" si="181"/>
        <v>0</v>
      </c>
      <c r="K332" s="1">
        <f t="shared" si="181"/>
        <v>0</v>
      </c>
    </row>
    <row r="333" spans="1:11" x14ac:dyDescent="0.25">
      <c r="A333" s="5" t="s">
        <v>5</v>
      </c>
      <c r="B333" s="5" t="str">
        <f t="shared" si="171"/>
        <v>SPS4</v>
      </c>
      <c r="C333" s="5" t="s">
        <v>7</v>
      </c>
      <c r="D333" t="s">
        <v>587</v>
      </c>
      <c r="E333" t="str">
        <f t="shared" si="164"/>
        <v>PJ/yr.</v>
      </c>
      <c r="F333" s="1">
        <f t="shared" ref="F333:K333" si="182">IFERROR(F105/F89,0)*F317</f>
        <v>1.5187707538890179E-2</v>
      </c>
      <c r="G333" s="1">
        <f t="shared" si="182"/>
        <v>2.3117618942124639E-3</v>
      </c>
      <c r="H333" s="1">
        <f t="shared" si="182"/>
        <v>2.4265048641469158E-3</v>
      </c>
      <c r="I333" s="1">
        <f t="shared" si="182"/>
        <v>6.8651686209761816E-3</v>
      </c>
      <c r="J333" s="1">
        <f t="shared" si="182"/>
        <v>1.0815061592976409E-3</v>
      </c>
      <c r="K333" s="1">
        <f t="shared" si="182"/>
        <v>3.0052883542909146E-4</v>
      </c>
    </row>
    <row r="334" spans="1:11" x14ac:dyDescent="0.25">
      <c r="A334" s="5" t="s">
        <v>5</v>
      </c>
      <c r="B334" s="5" t="str">
        <f t="shared" si="171"/>
        <v>SPS4</v>
      </c>
      <c r="C334" s="5" t="s">
        <v>7</v>
      </c>
      <c r="D334" t="s">
        <v>588</v>
      </c>
      <c r="E334" t="str">
        <f t="shared" si="164"/>
        <v>PJ/yr.</v>
      </c>
      <c r="F334" s="1">
        <f t="shared" ref="F334:K334" si="183">IFERROR(F106/F90,0)*F318</f>
        <v>0</v>
      </c>
      <c r="G334" s="1">
        <f t="shared" si="183"/>
        <v>0</v>
      </c>
      <c r="H334" s="1">
        <f t="shared" si="183"/>
        <v>0</v>
      </c>
      <c r="I334" s="1">
        <f t="shared" si="183"/>
        <v>2.4634434202192934E-4</v>
      </c>
      <c r="J334" s="1">
        <f t="shared" si="183"/>
        <v>8.0195945616303853E-4</v>
      </c>
      <c r="K334" s="1">
        <f t="shared" si="183"/>
        <v>6.4387416963457376E-4</v>
      </c>
    </row>
    <row r="335" spans="1:11" x14ac:dyDescent="0.25">
      <c r="A335" s="5" t="s">
        <v>5</v>
      </c>
      <c r="B335" s="5" t="str">
        <f t="shared" si="171"/>
        <v>SPS4</v>
      </c>
      <c r="C335" s="5" t="s">
        <v>7</v>
      </c>
      <c r="D335" t="s">
        <v>589</v>
      </c>
      <c r="E335" t="str">
        <f t="shared" si="164"/>
        <v>PJ/yr.</v>
      </c>
      <c r="F335" s="1">
        <f t="shared" ref="F335:K335" si="184">IFERROR(F107/F91,0)*F319</f>
        <v>2.5022740830864344E-2</v>
      </c>
      <c r="G335" s="1">
        <f t="shared" si="184"/>
        <v>1.889952880843183E-3</v>
      </c>
      <c r="H335" s="1">
        <f t="shared" si="184"/>
        <v>1.8040876574719009E-3</v>
      </c>
      <c r="I335" s="1">
        <f t="shared" si="184"/>
        <v>0.23279927847655543</v>
      </c>
      <c r="J335" s="1">
        <f t="shared" si="184"/>
        <v>1.1242489464166932</v>
      </c>
      <c r="K335" s="1">
        <f t="shared" si="184"/>
        <v>0.7665887036762089</v>
      </c>
    </row>
    <row r="336" spans="1:11" x14ac:dyDescent="0.25">
      <c r="A336" s="5" t="s">
        <v>5</v>
      </c>
      <c r="B336" s="5" t="str">
        <f t="shared" si="171"/>
        <v>SPS4</v>
      </c>
      <c r="C336" s="5" t="s">
        <v>7</v>
      </c>
      <c r="D336" t="s">
        <v>590</v>
      </c>
      <c r="E336" t="str">
        <f t="shared" si="164"/>
        <v>PJ/yr.</v>
      </c>
      <c r="F336" s="1">
        <f t="shared" ref="F336:K336" si="185">IFERROR(F108/F92,0)*F320</f>
        <v>0</v>
      </c>
      <c r="G336" s="1">
        <f t="shared" si="185"/>
        <v>0</v>
      </c>
      <c r="H336" s="1">
        <f t="shared" si="185"/>
        <v>0</v>
      </c>
      <c r="I336" s="1">
        <f t="shared" si="185"/>
        <v>1.0251981684557888E-3</v>
      </c>
      <c r="J336" s="1">
        <f t="shared" si="185"/>
        <v>8.1701254933504597E-3</v>
      </c>
      <c r="K336" s="1">
        <f t="shared" si="185"/>
        <v>6.8442539328884538E-3</v>
      </c>
    </row>
    <row r="337" spans="1:11" x14ac:dyDescent="0.25">
      <c r="A337" s="5" t="s">
        <v>5</v>
      </c>
      <c r="B337" s="5" t="str">
        <f t="shared" si="171"/>
        <v>SPS4</v>
      </c>
      <c r="C337" s="5" t="s">
        <v>7</v>
      </c>
      <c r="D337" t="s">
        <v>591</v>
      </c>
      <c r="E337" t="str">
        <f t="shared" si="164"/>
        <v>PJ/yr.</v>
      </c>
      <c r="F337" s="1">
        <f t="shared" ref="F337:K337" si="186">IFERROR(F109/F93,0)*F321</f>
        <v>0</v>
      </c>
      <c r="G337" s="1">
        <f t="shared" si="186"/>
        <v>0</v>
      </c>
      <c r="H337" s="1">
        <f t="shared" si="186"/>
        <v>0</v>
      </c>
      <c r="I337" s="1">
        <f t="shared" si="186"/>
        <v>0</v>
      </c>
      <c r="J337" s="1">
        <f t="shared" si="186"/>
        <v>0</v>
      </c>
      <c r="K337" s="1">
        <f t="shared" si="186"/>
        <v>0</v>
      </c>
    </row>
    <row r="338" spans="1:11" x14ac:dyDescent="0.25">
      <c r="A338" s="5" t="s">
        <v>5</v>
      </c>
      <c r="B338" s="5" t="str">
        <f t="shared" si="171"/>
        <v>SPS4</v>
      </c>
      <c r="C338" s="5" t="s">
        <v>7</v>
      </c>
      <c r="D338" t="s">
        <v>592</v>
      </c>
      <c r="E338" t="str">
        <f t="shared" si="164"/>
        <v>PJ/yr.</v>
      </c>
      <c r="F338" s="1">
        <f t="shared" ref="F338:K338" si="187">IFERROR(F110/F94,0)*F322</f>
        <v>0.74542194413344809</v>
      </c>
      <c r="G338" s="1">
        <f t="shared" si="187"/>
        <v>0.7665258465791065</v>
      </c>
      <c r="H338" s="1">
        <f t="shared" si="187"/>
        <v>1.3398875181890722E-2</v>
      </c>
      <c r="I338" s="1">
        <f t="shared" si="187"/>
        <v>1.2773280544725896E-2</v>
      </c>
      <c r="J338" s="1">
        <f t="shared" si="187"/>
        <v>2.863964486490729E-2</v>
      </c>
      <c r="K338" s="1">
        <f t="shared" si="187"/>
        <v>5.5909157549990213E-4</v>
      </c>
    </row>
    <row r="339" spans="1:11" x14ac:dyDescent="0.25">
      <c r="A339" s="5" t="s">
        <v>5</v>
      </c>
      <c r="B339" s="5" t="str">
        <f t="shared" si="171"/>
        <v>SPS4</v>
      </c>
      <c r="C339" s="5" t="s">
        <v>7</v>
      </c>
      <c r="D339" t="s">
        <v>593</v>
      </c>
      <c r="E339" t="str">
        <f t="shared" si="164"/>
        <v>PJ/yr.</v>
      </c>
      <c r="F339" s="1">
        <f t="shared" ref="F339:K339" si="188">IFERROR(F111/F95,0)*F323</f>
        <v>0</v>
      </c>
      <c r="G339" s="1">
        <f t="shared" si="188"/>
        <v>0</v>
      </c>
      <c r="H339" s="1">
        <f t="shared" si="188"/>
        <v>0</v>
      </c>
      <c r="I339" s="1">
        <f t="shared" si="188"/>
        <v>2.1515894443731949E-4</v>
      </c>
      <c r="J339" s="1">
        <f t="shared" si="188"/>
        <v>8.5110749698520099E-3</v>
      </c>
      <c r="K339" s="1">
        <f t="shared" si="188"/>
        <v>8.3141300876939019E-3</v>
      </c>
    </row>
    <row r="340" spans="1:11" x14ac:dyDescent="0.25">
      <c r="A340" s="5" t="s">
        <v>5</v>
      </c>
      <c r="B340" s="5" t="str">
        <f t="shared" si="171"/>
        <v>SPS4</v>
      </c>
      <c r="C340" s="5" t="s">
        <v>7</v>
      </c>
      <c r="D340" t="s">
        <v>853</v>
      </c>
      <c r="E340" t="str">
        <f t="shared" si="164"/>
        <v>PJ/yr.</v>
      </c>
      <c r="F340" s="1">
        <f>SUM(F341:F355)</f>
        <v>1.141502871493564</v>
      </c>
      <c r="G340" s="1">
        <f t="shared" ref="G340:K340" si="189">SUM(G341:G355)</f>
        <v>1.283188750564447</v>
      </c>
      <c r="H340" s="1">
        <f t="shared" si="189"/>
        <v>1.3029559935246477</v>
      </c>
      <c r="I340" s="1">
        <f t="shared" si="189"/>
        <v>1.400697851355599</v>
      </c>
      <c r="J340" s="1">
        <f t="shared" si="189"/>
        <v>1.5497160580561697</v>
      </c>
      <c r="K340" s="1">
        <f t="shared" si="189"/>
        <v>1.5075563671463488</v>
      </c>
    </row>
    <row r="341" spans="1:11" x14ac:dyDescent="0.25">
      <c r="A341" s="5" t="s">
        <v>5</v>
      </c>
      <c r="B341" s="5" t="str">
        <f t="shared" si="171"/>
        <v>SPS4</v>
      </c>
      <c r="C341" s="5" t="s">
        <v>7</v>
      </c>
      <c r="D341" t="s">
        <v>640</v>
      </c>
      <c r="E341" t="str">
        <f t="shared" si="164"/>
        <v>PJ/yr.</v>
      </c>
      <c r="F341" s="1">
        <f>F309-F325</f>
        <v>0</v>
      </c>
      <c r="G341" s="1">
        <f t="shared" ref="G341:K341" si="190">G309-G325</f>
        <v>0</v>
      </c>
      <c r="H341" s="1">
        <f t="shared" si="190"/>
        <v>0</v>
      </c>
      <c r="I341" s="1">
        <f t="shared" si="190"/>
        <v>0</v>
      </c>
      <c r="J341" s="1">
        <f t="shared" si="190"/>
        <v>7.6713015920534811E-5</v>
      </c>
      <c r="K341" s="1">
        <f t="shared" si="190"/>
        <v>1.7908577500054361E-5</v>
      </c>
    </row>
    <row r="342" spans="1:11" x14ac:dyDescent="0.25">
      <c r="A342" s="5" t="s">
        <v>5</v>
      </c>
      <c r="B342" s="5" t="str">
        <f t="shared" si="171"/>
        <v>SPS4</v>
      </c>
      <c r="C342" s="5" t="s">
        <v>7</v>
      </c>
      <c r="D342" t="s">
        <v>641</v>
      </c>
      <c r="E342" t="str">
        <f t="shared" si="164"/>
        <v>PJ/yr.</v>
      </c>
      <c r="F342" s="1">
        <f t="shared" ref="F342:K342" si="191">F310-F326</f>
        <v>0</v>
      </c>
      <c r="G342" s="1">
        <f t="shared" si="191"/>
        <v>4.692663962215589E-5</v>
      </c>
      <c r="H342" s="1">
        <f t="shared" si="191"/>
        <v>1.6817880745609911E-4</v>
      </c>
      <c r="I342" s="1">
        <f t="shared" si="191"/>
        <v>1.1698657513155471E-4</v>
      </c>
      <c r="J342" s="1">
        <f t="shared" si="191"/>
        <v>5.4110441900484529E-4</v>
      </c>
      <c r="K342" s="1">
        <f t="shared" si="191"/>
        <v>7.7076320087212519E-5</v>
      </c>
    </row>
    <row r="343" spans="1:11" x14ac:dyDescent="0.25">
      <c r="A343" s="5" t="s">
        <v>5</v>
      </c>
      <c r="B343" s="5" t="str">
        <f t="shared" si="171"/>
        <v>SPS4</v>
      </c>
      <c r="C343" s="5" t="s">
        <v>7</v>
      </c>
      <c r="D343" t="s">
        <v>642</v>
      </c>
      <c r="E343" t="str">
        <f t="shared" si="164"/>
        <v>PJ/yr.</v>
      </c>
      <c r="F343" s="1">
        <f t="shared" ref="F343:K343" si="192">F311-F327</f>
        <v>0</v>
      </c>
      <c r="G343" s="1">
        <f t="shared" si="192"/>
        <v>0</v>
      </c>
      <c r="H343" s="1">
        <f t="shared" si="192"/>
        <v>0</v>
      </c>
      <c r="I343" s="1">
        <f t="shared" si="192"/>
        <v>0</v>
      </c>
      <c r="J343" s="1">
        <f t="shared" si="192"/>
        <v>9.0084832855036307E-5</v>
      </c>
      <c r="K343" s="1">
        <f t="shared" si="192"/>
        <v>3.614316217596877E-5</v>
      </c>
    </row>
    <row r="344" spans="1:11" x14ac:dyDescent="0.25">
      <c r="A344" s="5" t="s">
        <v>5</v>
      </c>
      <c r="B344" s="5" t="str">
        <f t="shared" si="171"/>
        <v>SPS4</v>
      </c>
      <c r="C344" s="5" t="s">
        <v>7</v>
      </c>
      <c r="D344" t="s">
        <v>643</v>
      </c>
      <c r="E344" t="str">
        <f t="shared" si="164"/>
        <v>PJ/yr.</v>
      </c>
      <c r="F344" s="1">
        <f t="shared" ref="F344:K344" si="193">F312-F328</f>
        <v>3.3002651133069882E-2</v>
      </c>
      <c r="G344" s="1">
        <f t="shared" si="193"/>
        <v>2.4497830622877939E-5</v>
      </c>
      <c r="H344" s="1">
        <f t="shared" si="193"/>
        <v>4.9118587108105093E-5</v>
      </c>
      <c r="I344" s="1">
        <f t="shared" si="193"/>
        <v>9.5852502383950416E-5</v>
      </c>
      <c r="J344" s="1">
        <f t="shared" si="193"/>
        <v>9.8812291774966372E-6</v>
      </c>
      <c r="K344" s="1">
        <f t="shared" si="193"/>
        <v>1.4514501535938407E-6</v>
      </c>
    </row>
    <row r="345" spans="1:11" x14ac:dyDescent="0.25">
      <c r="A345" s="5" t="s">
        <v>5</v>
      </c>
      <c r="B345" s="5" t="str">
        <f t="shared" si="171"/>
        <v>SPS4</v>
      </c>
      <c r="C345" s="5" t="s">
        <v>7</v>
      </c>
      <c r="D345" t="s">
        <v>644</v>
      </c>
      <c r="E345" t="str">
        <f t="shared" si="164"/>
        <v>PJ/yr.</v>
      </c>
      <c r="F345" s="1">
        <f t="shared" ref="F345:K345" si="194">F313-F329</f>
        <v>0</v>
      </c>
      <c r="G345" s="1">
        <f t="shared" si="194"/>
        <v>0</v>
      </c>
      <c r="H345" s="1">
        <f t="shared" si="194"/>
        <v>0</v>
      </c>
      <c r="I345" s="1">
        <f t="shared" si="194"/>
        <v>0</v>
      </c>
      <c r="J345" s="1">
        <f t="shared" si="194"/>
        <v>1.3916505762898677E-5</v>
      </c>
      <c r="K345" s="1">
        <f t="shared" si="194"/>
        <v>3.8379457488043819E-6</v>
      </c>
    </row>
    <row r="346" spans="1:11" x14ac:dyDescent="0.25">
      <c r="A346" s="5" t="s">
        <v>5</v>
      </c>
      <c r="B346" s="5" t="str">
        <f t="shared" si="171"/>
        <v>SPS4</v>
      </c>
      <c r="C346" s="5" t="s">
        <v>7</v>
      </c>
      <c r="D346" t="s">
        <v>645</v>
      </c>
      <c r="E346" t="str">
        <f t="shared" si="164"/>
        <v>PJ/yr.</v>
      </c>
      <c r="F346" s="1">
        <f t="shared" ref="F346:K346" si="195">F314-F330</f>
        <v>2.302320551321646E-2</v>
      </c>
      <c r="G346" s="1">
        <f t="shared" si="195"/>
        <v>3.7396207462824654E-3</v>
      </c>
      <c r="H346" s="1">
        <f t="shared" si="195"/>
        <v>2.5584669234510332E-3</v>
      </c>
      <c r="I346" s="1">
        <f t="shared" si="195"/>
        <v>1.2563868208412599E-2</v>
      </c>
      <c r="J346" s="1">
        <f t="shared" si="195"/>
        <v>2.373716940056031E-4</v>
      </c>
      <c r="K346" s="1">
        <f t="shared" si="195"/>
        <v>8.8764336784265263E-5</v>
      </c>
    </row>
    <row r="347" spans="1:11" x14ac:dyDescent="0.25">
      <c r="A347" s="5" t="s">
        <v>5</v>
      </c>
      <c r="B347" s="5" t="str">
        <f t="shared" si="171"/>
        <v>SPS4</v>
      </c>
      <c r="C347" s="5" t="s">
        <v>7</v>
      </c>
      <c r="D347" t="s">
        <v>646</v>
      </c>
      <c r="E347" t="str">
        <f t="shared" si="164"/>
        <v>PJ/yr.</v>
      </c>
      <c r="F347" s="1">
        <f t="shared" ref="F347:K347" si="196">F315-F331</f>
        <v>0</v>
      </c>
      <c r="G347" s="1">
        <f t="shared" si="196"/>
        <v>0</v>
      </c>
      <c r="H347" s="1">
        <f t="shared" si="196"/>
        <v>0</v>
      </c>
      <c r="I347" s="1">
        <f t="shared" si="196"/>
        <v>0</v>
      </c>
      <c r="J347" s="1">
        <f t="shared" si="196"/>
        <v>0</v>
      </c>
      <c r="K347" s="1">
        <f t="shared" si="196"/>
        <v>0</v>
      </c>
    </row>
    <row r="348" spans="1:11" x14ac:dyDescent="0.25">
      <c r="A348" s="5" t="s">
        <v>5</v>
      </c>
      <c r="B348" s="5" t="str">
        <f t="shared" si="171"/>
        <v>SPS4</v>
      </c>
      <c r="C348" s="5" t="s">
        <v>7</v>
      </c>
      <c r="D348" t="s">
        <v>647</v>
      </c>
      <c r="E348" t="str">
        <f t="shared" si="164"/>
        <v>PJ/yr.</v>
      </c>
      <c r="F348" s="1">
        <f t="shared" ref="F348:K348" si="197">F316-F332</f>
        <v>0</v>
      </c>
      <c r="G348" s="1">
        <f t="shared" si="197"/>
        <v>0</v>
      </c>
      <c r="H348" s="1">
        <f t="shared" si="197"/>
        <v>0</v>
      </c>
      <c r="I348" s="1">
        <f t="shared" si="197"/>
        <v>0</v>
      </c>
      <c r="J348" s="1">
        <f t="shared" si="197"/>
        <v>0</v>
      </c>
      <c r="K348" s="1">
        <f t="shared" si="197"/>
        <v>0</v>
      </c>
    </row>
    <row r="349" spans="1:11" x14ac:dyDescent="0.25">
      <c r="A349" s="5" t="s">
        <v>5</v>
      </c>
      <c r="B349" s="5" t="str">
        <f t="shared" si="171"/>
        <v>SPS4</v>
      </c>
      <c r="C349" s="5" t="s">
        <v>7</v>
      </c>
      <c r="D349" t="s">
        <v>648</v>
      </c>
      <c r="E349" t="str">
        <f t="shared" si="164"/>
        <v>PJ/yr.</v>
      </c>
      <c r="F349" s="1">
        <f t="shared" ref="F349:K349" si="198">F317-F333</f>
        <v>4.0179808617247723E-4</v>
      </c>
      <c r="G349" s="1">
        <f t="shared" si="198"/>
        <v>7.304325176688475E-5</v>
      </c>
      <c r="H349" s="1">
        <f t="shared" si="198"/>
        <v>8.2620269175214932E-5</v>
      </c>
      <c r="I349" s="1">
        <f t="shared" si="198"/>
        <v>2.1038169252649529E-4</v>
      </c>
      <c r="J349" s="1">
        <f t="shared" si="198"/>
        <v>3.7860491349682099E-6</v>
      </c>
      <c r="K349" s="1">
        <f t="shared" si="198"/>
        <v>1.4054891242143343E-6</v>
      </c>
    </row>
    <row r="350" spans="1:11" x14ac:dyDescent="0.25">
      <c r="A350" s="5" t="s">
        <v>5</v>
      </c>
      <c r="B350" s="5" t="str">
        <f t="shared" si="171"/>
        <v>SPS4</v>
      </c>
      <c r="C350" s="5" t="s">
        <v>7</v>
      </c>
      <c r="D350" t="s">
        <v>649</v>
      </c>
      <c r="E350" t="str">
        <f t="shared" si="164"/>
        <v>PJ/yr.</v>
      </c>
      <c r="F350" s="1">
        <f t="shared" ref="F350:K350" si="199">F318-F334</f>
        <v>0</v>
      </c>
      <c r="G350" s="1">
        <f t="shared" si="199"/>
        <v>0</v>
      </c>
      <c r="H350" s="1">
        <f t="shared" si="199"/>
        <v>0</v>
      </c>
      <c r="I350" s="1">
        <f t="shared" si="199"/>
        <v>7.5491721296614138E-6</v>
      </c>
      <c r="J350" s="1">
        <f t="shared" si="199"/>
        <v>2.8074346865091882E-6</v>
      </c>
      <c r="K350" s="1">
        <f t="shared" si="199"/>
        <v>3.0112190116194162E-6</v>
      </c>
    </row>
    <row r="351" spans="1:11" x14ac:dyDescent="0.25">
      <c r="A351" s="5" t="s">
        <v>5</v>
      </c>
      <c r="B351" s="5" t="str">
        <f t="shared" si="171"/>
        <v>SPS4</v>
      </c>
      <c r="C351" s="5" t="s">
        <v>7</v>
      </c>
      <c r="D351" t="s">
        <v>650</v>
      </c>
      <c r="E351" t="str">
        <f t="shared" si="164"/>
        <v>PJ/yr.</v>
      </c>
      <c r="F351" s="1">
        <f t="shared" ref="F351:K351" si="200">F319-F335</f>
        <v>6.6198860827984193E-4</v>
      </c>
      <c r="G351" s="1">
        <f t="shared" si="200"/>
        <v>5.9715624021913468E-5</v>
      </c>
      <c r="H351" s="1">
        <f t="shared" si="200"/>
        <v>6.1427533106724096E-5</v>
      </c>
      <c r="I351" s="1">
        <f t="shared" si="200"/>
        <v>7.1340864192612485E-3</v>
      </c>
      <c r="J351" s="1">
        <f t="shared" si="200"/>
        <v>3.9356796209406575E-3</v>
      </c>
      <c r="K351" s="1">
        <f t="shared" si="200"/>
        <v>3.5851204900991807E-3</v>
      </c>
    </row>
    <row r="352" spans="1:11" x14ac:dyDescent="0.25">
      <c r="A352" s="5" t="s">
        <v>5</v>
      </c>
      <c r="B352" s="5" t="str">
        <f t="shared" si="171"/>
        <v>SPS4</v>
      </c>
      <c r="C352" s="5" t="s">
        <v>7</v>
      </c>
      <c r="D352" t="s">
        <v>651</v>
      </c>
      <c r="E352" t="str">
        <f t="shared" si="164"/>
        <v>PJ/yr.</v>
      </c>
      <c r="F352" s="1">
        <f t="shared" ref="F352:K352" si="201">F320-F336</f>
        <v>0</v>
      </c>
      <c r="G352" s="1">
        <f t="shared" si="201"/>
        <v>0</v>
      </c>
      <c r="H352" s="1">
        <f t="shared" si="201"/>
        <v>0</v>
      </c>
      <c r="I352" s="1">
        <f t="shared" si="201"/>
        <v>3.1416988826142318E-5</v>
      </c>
      <c r="J352" s="1">
        <f t="shared" si="201"/>
        <v>2.8601313354302202E-5</v>
      </c>
      <c r="K352" s="1">
        <f t="shared" si="201"/>
        <v>3.2008657180272043E-5</v>
      </c>
    </row>
    <row r="353" spans="1:15" x14ac:dyDescent="0.25">
      <c r="A353" s="5" t="s">
        <v>5</v>
      </c>
      <c r="B353" s="5" t="str">
        <f t="shared" si="171"/>
        <v>SPS4</v>
      </c>
      <c r="C353" s="5" t="s">
        <v>7</v>
      </c>
      <c r="D353" t="s">
        <v>652</v>
      </c>
      <c r="E353" t="str">
        <f t="shared" si="164"/>
        <v>PJ/yr.</v>
      </c>
      <c r="F353" s="1">
        <f t="shared" ref="F353:K353" si="202">F321-F337</f>
        <v>1.0646927331553513</v>
      </c>
      <c r="G353" s="1">
        <f t="shared" si="202"/>
        <v>1.2550255229503255</v>
      </c>
      <c r="H353" s="1">
        <f t="shared" si="202"/>
        <v>1.299579961970988</v>
      </c>
      <c r="I353" s="1">
        <f t="shared" si="202"/>
        <v>1.3801396817172296</v>
      </c>
      <c r="J353" s="1">
        <f t="shared" si="202"/>
        <v>1.5446460577114136</v>
      </c>
      <c r="K353" s="1">
        <f t="shared" si="202"/>
        <v>1.5036681419279541</v>
      </c>
    </row>
    <row r="354" spans="1:15" x14ac:dyDescent="0.25">
      <c r="A354" s="5" t="s">
        <v>5</v>
      </c>
      <c r="B354" s="5" t="str">
        <f t="shared" si="171"/>
        <v>SPS4</v>
      </c>
      <c r="C354" s="5" t="s">
        <v>7</v>
      </c>
      <c r="D354" t="s">
        <v>653</v>
      </c>
      <c r="E354" t="str">
        <f t="shared" si="164"/>
        <v>PJ/yr.</v>
      </c>
      <c r="F354" s="1">
        <f t="shared" ref="F354:K354" si="203">F322-F338</f>
        <v>1.9720494997474192E-2</v>
      </c>
      <c r="G354" s="1">
        <f t="shared" si="203"/>
        <v>2.4219423521805172E-2</v>
      </c>
      <c r="H354" s="1">
        <f t="shared" si="203"/>
        <v>4.5621943336269198E-4</v>
      </c>
      <c r="I354" s="1">
        <f t="shared" si="203"/>
        <v>3.914345777180743E-4</v>
      </c>
      <c r="J354" s="1">
        <f t="shared" si="203"/>
        <v>1.0025934825650534E-4</v>
      </c>
      <c r="K354" s="1">
        <f t="shared" si="203"/>
        <v>2.6147145836540346E-6</v>
      </c>
    </row>
    <row r="355" spans="1:15" x14ac:dyDescent="0.25">
      <c r="A355" s="5" t="s">
        <v>5</v>
      </c>
      <c r="B355" s="5" t="str">
        <f t="shared" si="171"/>
        <v>SPS4</v>
      </c>
      <c r="C355" s="5" t="s">
        <v>7</v>
      </c>
      <c r="D355" t="s">
        <v>654</v>
      </c>
      <c r="E355" t="str">
        <f t="shared" si="164"/>
        <v>PJ/yr.</v>
      </c>
      <c r="F355" s="1">
        <f t="shared" ref="F355:K355" si="204">F323-F339</f>
        <v>0</v>
      </c>
      <c r="G355" s="1">
        <f t="shared" si="204"/>
        <v>0</v>
      </c>
      <c r="H355" s="1">
        <f t="shared" si="204"/>
        <v>0</v>
      </c>
      <c r="I355" s="1">
        <f t="shared" si="204"/>
        <v>6.5935019796353994E-6</v>
      </c>
      <c r="J355" s="1">
        <f t="shared" si="204"/>
        <v>2.9794881656691752E-5</v>
      </c>
      <c r="K355" s="1">
        <f t="shared" si="204"/>
        <v>3.8882855945830339E-5</v>
      </c>
    </row>
    <row r="356" spans="1:15" x14ac:dyDescent="0.25">
      <c r="A356" s="5" t="s">
        <v>5</v>
      </c>
      <c r="B356" s="5" t="str">
        <f t="shared" si="171"/>
        <v>SPS4</v>
      </c>
      <c r="C356" s="5" t="s">
        <v>7</v>
      </c>
      <c r="D356" t="s">
        <v>854</v>
      </c>
      <c r="E356" t="str">
        <f t="shared" ref="E356:E406" si="205">E355</f>
        <v>PJ/yr.</v>
      </c>
      <c r="F356" s="1">
        <f>SUM(F357:F362)</f>
        <v>22.439136952982661</v>
      </c>
      <c r="G356" s="1">
        <f t="shared" ref="G356:K356" si="206">SUM(G357:G362)</f>
        <v>24.494644610599519</v>
      </c>
      <c r="H356" s="1">
        <f t="shared" si="206"/>
        <v>25.03301951190543</v>
      </c>
      <c r="I356" s="1">
        <f t="shared" si="206"/>
        <v>25.070385637965128</v>
      </c>
      <c r="J356" s="1">
        <f t="shared" si="206"/>
        <v>26.131747844535493</v>
      </c>
      <c r="K356" s="1">
        <f t="shared" si="206"/>
        <v>27.605107441354281</v>
      </c>
    </row>
    <row r="357" spans="1:15" x14ac:dyDescent="0.25">
      <c r="A357" s="5" t="s">
        <v>5</v>
      </c>
      <c r="B357" s="5" t="str">
        <f t="shared" si="171"/>
        <v>SPS4</v>
      </c>
      <c r="C357" s="5" t="s">
        <v>7</v>
      </c>
      <c r="D357" t="s">
        <v>113</v>
      </c>
      <c r="E357" t="str">
        <f t="shared" si="205"/>
        <v>PJ/yr.</v>
      </c>
      <c r="F357" s="1">
        <f>'[1]Electricity and CHPs_IN'!B$19</f>
        <v>18.203590792933127</v>
      </c>
      <c r="G357" s="1">
        <f>'[1]Electricity and CHPs_IN'!C$19</f>
        <v>20.429785201476637</v>
      </c>
      <c r="H357" s="1">
        <f>'[1]Electricity and CHPs_IN'!D$19</f>
        <v>20.734842014252589</v>
      </c>
      <c r="I357" s="1">
        <f>'[1]Electricity and CHPs_IN'!E$19</f>
        <v>20.696587250474163</v>
      </c>
      <c r="J357" s="1">
        <f>'[1]Electricity and CHPs_IN'!F$19</f>
        <v>21.451622956551038</v>
      </c>
      <c r="K357" s="1">
        <f>'[1]Electricity and CHPs_IN'!G$19</f>
        <v>22.473418837277165</v>
      </c>
      <c r="O357" s="1"/>
    </row>
    <row r="358" spans="1:15" x14ac:dyDescent="0.25">
      <c r="A358" s="5" t="s">
        <v>5</v>
      </c>
      <c r="B358" s="5" t="str">
        <f t="shared" si="171"/>
        <v>SPS4</v>
      </c>
      <c r="C358" s="5" t="s">
        <v>7</v>
      </c>
      <c r="D358" t="s">
        <v>114</v>
      </c>
      <c r="E358" t="str">
        <f t="shared" si="205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0</v>
      </c>
      <c r="K358" s="1">
        <f>'[1]Electricity and CHPs_IN'!G$20</f>
        <v>0</v>
      </c>
      <c r="O358" s="1"/>
    </row>
    <row r="359" spans="1:15" x14ac:dyDescent="0.25">
      <c r="A359" s="5" t="s">
        <v>5</v>
      </c>
      <c r="B359" s="5" t="str">
        <f t="shared" si="171"/>
        <v>SPS4</v>
      </c>
      <c r="C359" s="5" t="s">
        <v>7</v>
      </c>
      <c r="D359" t="s">
        <v>115</v>
      </c>
      <c r="E359" t="str">
        <f t="shared" si="205"/>
        <v>PJ/yr.</v>
      </c>
      <c r="F359" s="1">
        <f>IFERROR(F131/SUM(F131,F196),0)*'[1]Electricity and CHPs_IN'!B$26</f>
        <v>3.8411023768139656</v>
      </c>
      <c r="G359" s="1">
        <f>IFERROR(G131/SUM(G131,G196),0)*'[1]Electricity and CHPs_IN'!C$26</f>
        <v>3.6556678667718208</v>
      </c>
      <c r="H359" s="1">
        <f>IFERROR(H131/SUM(H131,H196),0)*'[1]Electricity and CHPs_IN'!D$26</f>
        <v>3.6645171608419993</v>
      </c>
      <c r="I359" s="1">
        <f>IFERROR(I131/SUM(I131,I196),0)*'[1]Electricity and CHPs_IN'!E$26</f>
        <v>3.6794876465784321</v>
      </c>
      <c r="J359" s="1">
        <f>IFERROR(J131/SUM(J131,J196),0)*'[1]Electricity and CHPs_IN'!F$26</f>
        <v>3.8087390061694668</v>
      </c>
      <c r="K359" s="1">
        <f>IFERROR(K131/SUM(K131,K196),0)*'[1]Electricity and CHPs_IN'!G$26</f>
        <v>3.9406474344234192</v>
      </c>
    </row>
    <row r="360" spans="1:15" x14ac:dyDescent="0.25">
      <c r="A360" s="5" t="s">
        <v>5</v>
      </c>
      <c r="B360" s="5" t="str">
        <f t="shared" si="171"/>
        <v>SPS4</v>
      </c>
      <c r="C360" s="5" t="s">
        <v>7</v>
      </c>
      <c r="D360" t="s">
        <v>116</v>
      </c>
      <c r="E360" t="str">
        <f t="shared" si="205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</v>
      </c>
      <c r="K360" s="1">
        <f>IFERROR(K132/SUM(K132,K197),0)*'[1]Electricity and CHPs_IN'!G$27</f>
        <v>0</v>
      </c>
    </row>
    <row r="361" spans="1:15" x14ac:dyDescent="0.25">
      <c r="A361" s="5" t="s">
        <v>5</v>
      </c>
      <c r="B361" s="5" t="str">
        <f t="shared" si="171"/>
        <v>SPS4</v>
      </c>
      <c r="C361" s="5" t="s">
        <v>7</v>
      </c>
      <c r="D361" t="s">
        <v>117</v>
      </c>
      <c r="E361" t="str">
        <f t="shared" si="205"/>
        <v>PJ/yr.</v>
      </c>
      <c r="F361" s="1">
        <f>IFERROR(F133/SUM(F133,F272),0)*'[1]Electricity and CHPs_IN'!B$44</f>
        <v>0.39444378323556911</v>
      </c>
      <c r="G361" s="1">
        <f>IFERROR(G133/SUM(G133,G272),0)*'[1]Electricity and CHPs_IN'!C$44</f>
        <v>0.40919154235105909</v>
      </c>
      <c r="H361" s="1">
        <f>IFERROR(H133/SUM(H133,H272),0)*'[1]Electricity and CHPs_IN'!D$44</f>
        <v>0.63366033681084188</v>
      </c>
      <c r="I361" s="1">
        <f>IFERROR(I133/SUM(I133,I272),0)*'[1]Electricity and CHPs_IN'!E$44</f>
        <v>0.69431074091253153</v>
      </c>
      <c r="J361" s="1">
        <f>IFERROR(J133/SUM(J133,J272),0)*'[1]Electricity and CHPs_IN'!F$44</f>
        <v>0.87138588181498677</v>
      </c>
      <c r="K361" s="1">
        <f>IFERROR(K133/SUM(K133,K272),0)*'[1]Electricity and CHPs_IN'!G$44</f>
        <v>1.1910411696536978</v>
      </c>
    </row>
    <row r="362" spans="1:15" x14ac:dyDescent="0.25">
      <c r="A362" s="5" t="s">
        <v>5</v>
      </c>
      <c r="B362" s="5" t="str">
        <f t="shared" si="171"/>
        <v>SPS4</v>
      </c>
      <c r="C362" s="5" t="s">
        <v>7</v>
      </c>
      <c r="D362" t="s">
        <v>118</v>
      </c>
      <c r="E362" t="str">
        <f t="shared" si="205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</v>
      </c>
      <c r="K362" s="1">
        <f>IFERROR(K134/SUM(K134,K273),0)*'[1]Electricity and CHPs_IN'!G$45</f>
        <v>0</v>
      </c>
      <c r="O362" s="4"/>
    </row>
    <row r="363" spans="1:15" x14ac:dyDescent="0.25">
      <c r="A363" s="5" t="s">
        <v>5</v>
      </c>
      <c r="B363" s="5" t="str">
        <f t="shared" si="171"/>
        <v>SPS4</v>
      </c>
      <c r="C363" s="5" t="s">
        <v>7</v>
      </c>
      <c r="D363" t="s">
        <v>855</v>
      </c>
      <c r="E363" t="str">
        <f t="shared" si="205"/>
        <v>PJ/yr.</v>
      </c>
      <c r="F363" s="1">
        <f>SUM(F364:F367)</f>
        <v>11.022346584873546</v>
      </c>
      <c r="G363" s="1">
        <f t="shared" ref="G363:K363" si="207">SUM(G364:G367)</f>
        <v>12.042726534124229</v>
      </c>
      <c r="H363" s="1">
        <f t="shared" si="207"/>
        <v>12.199679587547292</v>
      </c>
      <c r="I363" s="1">
        <f t="shared" si="207"/>
        <v>12.188037448526298</v>
      </c>
      <c r="J363" s="1">
        <f t="shared" si="207"/>
        <v>12.630180981360253</v>
      </c>
      <c r="K363" s="1">
        <f t="shared" si="207"/>
        <v>13.207033135850292</v>
      </c>
      <c r="O363" s="7"/>
    </row>
    <row r="364" spans="1:15" x14ac:dyDescent="0.25">
      <c r="A364" s="5" t="s">
        <v>5</v>
      </c>
      <c r="B364" s="5" t="str">
        <f t="shared" si="171"/>
        <v>SPS4</v>
      </c>
      <c r="C364" s="5" t="s">
        <v>7</v>
      </c>
      <c r="D364" t="s">
        <v>119</v>
      </c>
      <c r="E364" t="str">
        <f t="shared" si="205"/>
        <v>PJ/yr.</v>
      </c>
      <c r="F364" s="1">
        <f>F357*IFERROR(F136/F129,0)</f>
        <v>9.1017953964665637</v>
      </c>
      <c r="G364" s="1">
        <f t="shared" ref="G364:K364" si="208">G357*IFERROR(G136/G129,0)</f>
        <v>10.214892600738319</v>
      </c>
      <c r="H364" s="1">
        <f t="shared" si="208"/>
        <v>10.367421007126293</v>
      </c>
      <c r="I364" s="1">
        <f t="shared" si="208"/>
        <v>10.348293625237082</v>
      </c>
      <c r="J364" s="1">
        <f t="shared" si="208"/>
        <v>10.725811478275519</v>
      </c>
      <c r="K364" s="1">
        <f t="shared" si="208"/>
        <v>11.236709418638583</v>
      </c>
      <c r="O364" s="1"/>
    </row>
    <row r="365" spans="1:15" x14ac:dyDescent="0.25">
      <c r="A365" s="5" t="s">
        <v>5</v>
      </c>
      <c r="B365" s="5" t="str">
        <f t="shared" si="171"/>
        <v>SPS4</v>
      </c>
      <c r="C365" s="5" t="s">
        <v>7</v>
      </c>
      <c r="D365" t="s">
        <v>120</v>
      </c>
      <c r="E365" t="str">
        <f t="shared" si="205"/>
        <v>PJ/yr.</v>
      </c>
      <c r="F365" s="1">
        <f t="shared" ref="F365:K365" si="209">F358*IFERROR(F137/F130,0)</f>
        <v>0</v>
      </c>
      <c r="G365" s="1">
        <f t="shared" si="209"/>
        <v>0</v>
      </c>
      <c r="H365" s="1">
        <f t="shared" si="209"/>
        <v>0</v>
      </c>
      <c r="I365" s="1">
        <f t="shared" si="209"/>
        <v>0</v>
      </c>
      <c r="J365" s="1">
        <f t="shared" si="209"/>
        <v>0</v>
      </c>
      <c r="K365" s="1">
        <f t="shared" si="209"/>
        <v>0</v>
      </c>
    </row>
    <row r="366" spans="1:15" x14ac:dyDescent="0.25">
      <c r="A366" s="5" t="s">
        <v>5</v>
      </c>
      <c r="B366" s="5" t="str">
        <f t="shared" si="171"/>
        <v>SPS4</v>
      </c>
      <c r="C366" s="5" t="s">
        <v>7</v>
      </c>
      <c r="D366" t="s">
        <v>121</v>
      </c>
      <c r="E366" t="str">
        <f t="shared" si="205"/>
        <v>PJ/yr.</v>
      </c>
      <c r="F366" s="1">
        <f t="shared" ref="F366:K366" si="210">F359*IFERROR(F138/F131,0)</f>
        <v>1.9205511884069828</v>
      </c>
      <c r="G366" s="1">
        <f t="shared" si="210"/>
        <v>1.8278339333859104</v>
      </c>
      <c r="H366" s="1">
        <f t="shared" si="210"/>
        <v>1.8322585804209996</v>
      </c>
      <c r="I366" s="1">
        <f t="shared" si="210"/>
        <v>1.839743823289216</v>
      </c>
      <c r="J366" s="1">
        <f t="shared" si="210"/>
        <v>1.9043695030847334</v>
      </c>
      <c r="K366" s="1">
        <f t="shared" si="210"/>
        <v>1.9703237172117094</v>
      </c>
    </row>
    <row r="367" spans="1:15" x14ac:dyDescent="0.25">
      <c r="A367" s="5" t="s">
        <v>5</v>
      </c>
      <c r="B367" s="5" t="str">
        <f t="shared" si="171"/>
        <v>SPS4</v>
      </c>
      <c r="C367" s="5" t="s">
        <v>7</v>
      </c>
      <c r="D367" t="s">
        <v>122</v>
      </c>
      <c r="E367" t="str">
        <f t="shared" si="205"/>
        <v>PJ/yr.</v>
      </c>
      <c r="F367" s="1">
        <f t="shared" ref="F367:K367" si="211">F360*IFERROR(F139/F132,0)</f>
        <v>0</v>
      </c>
      <c r="G367" s="1">
        <f t="shared" si="211"/>
        <v>0</v>
      </c>
      <c r="H367" s="1">
        <f t="shared" si="211"/>
        <v>0</v>
      </c>
      <c r="I367" s="1">
        <f t="shared" si="211"/>
        <v>0</v>
      </c>
      <c r="J367" s="1">
        <f t="shared" si="211"/>
        <v>0</v>
      </c>
      <c r="K367" s="1">
        <f t="shared" si="211"/>
        <v>0</v>
      </c>
    </row>
    <row r="368" spans="1:15" x14ac:dyDescent="0.25">
      <c r="A368" s="5" t="s">
        <v>5</v>
      </c>
      <c r="B368" s="5" t="str">
        <f t="shared" si="171"/>
        <v>SPS4</v>
      </c>
      <c r="C368" s="5" t="s">
        <v>7</v>
      </c>
      <c r="D368" t="s">
        <v>123</v>
      </c>
      <c r="E368" t="str">
        <f t="shared" si="205"/>
        <v>PJ/yr.</v>
      </c>
      <c r="F368" s="1">
        <f t="shared" ref="F368:K368" si="212">F361*IFERROR(F140/F133,0)</f>
        <v>0</v>
      </c>
      <c r="G368" s="1">
        <f t="shared" si="212"/>
        <v>0</v>
      </c>
      <c r="H368" s="1">
        <f t="shared" si="212"/>
        <v>0</v>
      </c>
      <c r="I368" s="1">
        <f t="shared" si="212"/>
        <v>0</v>
      </c>
      <c r="J368" s="1">
        <f t="shared" si="212"/>
        <v>0</v>
      </c>
      <c r="K368" s="1">
        <f t="shared" si="212"/>
        <v>0</v>
      </c>
    </row>
    <row r="369" spans="1:15" x14ac:dyDescent="0.25">
      <c r="A369" s="5" t="s">
        <v>5</v>
      </c>
      <c r="B369" s="5" t="str">
        <f t="shared" si="171"/>
        <v>SPS4</v>
      </c>
      <c r="C369" s="5" t="s">
        <v>7</v>
      </c>
      <c r="D369" t="s">
        <v>124</v>
      </c>
      <c r="E369" t="str">
        <f t="shared" si="205"/>
        <v>PJ/yr.</v>
      </c>
      <c r="F369" s="1">
        <f t="shared" ref="F369:K369" si="213">F362*IFERROR(F141/F134,0)</f>
        <v>0</v>
      </c>
      <c r="G369" s="1">
        <f t="shared" si="213"/>
        <v>0</v>
      </c>
      <c r="H369" s="1">
        <f t="shared" si="213"/>
        <v>0</v>
      </c>
      <c r="I369" s="1">
        <f t="shared" si="213"/>
        <v>0</v>
      </c>
      <c r="J369" s="1">
        <f t="shared" si="213"/>
        <v>0</v>
      </c>
      <c r="K369" s="1">
        <f t="shared" si="213"/>
        <v>0</v>
      </c>
    </row>
    <row r="370" spans="1:15" x14ac:dyDescent="0.25">
      <c r="A370" s="5" t="s">
        <v>5</v>
      </c>
      <c r="B370" s="5" t="str">
        <f t="shared" si="171"/>
        <v>SPS4</v>
      </c>
      <c r="C370" s="5" t="s">
        <v>7</v>
      </c>
      <c r="D370" t="s">
        <v>856</v>
      </c>
      <c r="E370" t="str">
        <f t="shared" si="205"/>
        <v>PJ/yr.</v>
      </c>
      <c r="F370" s="1">
        <f>SUM(F371:F376)</f>
        <v>11.416790368109115</v>
      </c>
      <c r="G370" s="1">
        <f t="shared" ref="G370:K370" si="214">SUM(G371:G376)</f>
        <v>12.451918076475289</v>
      </c>
      <c r="H370" s="1">
        <f t="shared" si="214"/>
        <v>12.833339924358135</v>
      </c>
      <c r="I370" s="1">
        <f t="shared" si="214"/>
        <v>12.882348189438829</v>
      </c>
      <c r="J370" s="1">
        <f t="shared" si="214"/>
        <v>13.50156686317524</v>
      </c>
      <c r="K370" s="1">
        <f t="shared" si="214"/>
        <v>14.398074305503989</v>
      </c>
      <c r="M370" s="1"/>
      <c r="N370" s="1"/>
      <c r="O370" s="1"/>
    </row>
    <row r="371" spans="1:15" x14ac:dyDescent="0.25">
      <c r="A371" s="5" t="s">
        <v>5</v>
      </c>
      <c r="B371" s="5" t="str">
        <f t="shared" si="171"/>
        <v>SPS4</v>
      </c>
      <c r="C371" s="5" t="s">
        <v>7</v>
      </c>
      <c r="D371" t="s">
        <v>125</v>
      </c>
      <c r="E371" t="str">
        <f t="shared" si="205"/>
        <v>PJ/yr.</v>
      </c>
      <c r="F371" s="1">
        <f t="shared" ref="F371:K371" si="215">F364*IFERROR(F143/F136,0)</f>
        <v>9.1017953964665637</v>
      </c>
      <c r="G371" s="1">
        <f t="shared" si="215"/>
        <v>10.214892600738319</v>
      </c>
      <c r="H371" s="1">
        <f t="shared" si="215"/>
        <v>10.367421007126294</v>
      </c>
      <c r="I371" s="1">
        <f t="shared" si="215"/>
        <v>10.348293625237082</v>
      </c>
      <c r="J371" s="1">
        <f t="shared" si="215"/>
        <v>10.725811478275519</v>
      </c>
      <c r="K371" s="1">
        <f t="shared" si="215"/>
        <v>11.236709418638583</v>
      </c>
      <c r="M371" s="1"/>
      <c r="N371" s="1"/>
      <c r="O371" s="1"/>
    </row>
    <row r="372" spans="1:15" x14ac:dyDescent="0.25">
      <c r="A372" s="5" t="s">
        <v>5</v>
      </c>
      <c r="B372" s="5" t="str">
        <f t="shared" ref="B372:B435" si="216">B371</f>
        <v>SPS4</v>
      </c>
      <c r="C372" s="5" t="s">
        <v>7</v>
      </c>
      <c r="D372" t="s">
        <v>126</v>
      </c>
      <c r="E372" t="str">
        <f t="shared" si="205"/>
        <v>PJ/yr.</v>
      </c>
      <c r="F372" s="1">
        <f t="shared" ref="F372:K372" si="217">F365*IFERROR(F144/F137,0)</f>
        <v>0</v>
      </c>
      <c r="G372" s="1">
        <f t="shared" si="217"/>
        <v>0</v>
      </c>
      <c r="H372" s="1">
        <f t="shared" si="217"/>
        <v>0</v>
      </c>
      <c r="I372" s="1">
        <f t="shared" si="217"/>
        <v>0</v>
      </c>
      <c r="J372" s="1">
        <f t="shared" si="217"/>
        <v>0</v>
      </c>
      <c r="K372" s="1">
        <f t="shared" si="217"/>
        <v>0</v>
      </c>
    </row>
    <row r="373" spans="1:15" x14ac:dyDescent="0.25">
      <c r="A373" s="5" t="s">
        <v>5</v>
      </c>
      <c r="B373" s="5" t="str">
        <f t="shared" si="216"/>
        <v>SPS4</v>
      </c>
      <c r="C373" s="5" t="s">
        <v>7</v>
      </c>
      <c r="D373" t="s">
        <v>127</v>
      </c>
      <c r="E373" t="str">
        <f t="shared" si="205"/>
        <v>PJ/yr.</v>
      </c>
      <c r="F373" s="1">
        <f t="shared" ref="F373:K373" si="218">F366*IFERROR(F145/F138,0)</f>
        <v>1.9205511884069828</v>
      </c>
      <c r="G373" s="1">
        <f t="shared" si="218"/>
        <v>1.8278339333859104</v>
      </c>
      <c r="H373" s="1">
        <f t="shared" si="218"/>
        <v>1.8322585804209996</v>
      </c>
      <c r="I373" s="1">
        <f t="shared" si="218"/>
        <v>1.839743823289216</v>
      </c>
      <c r="J373" s="1">
        <f t="shared" si="218"/>
        <v>1.9043695030847334</v>
      </c>
      <c r="K373" s="1">
        <f t="shared" si="218"/>
        <v>1.9703237172117098</v>
      </c>
    </row>
    <row r="374" spans="1:15" x14ac:dyDescent="0.25">
      <c r="A374" s="5" t="s">
        <v>5</v>
      </c>
      <c r="B374" s="5" t="str">
        <f t="shared" si="216"/>
        <v>SPS4</v>
      </c>
      <c r="C374" s="5" t="s">
        <v>7</v>
      </c>
      <c r="D374" t="s">
        <v>128</v>
      </c>
      <c r="E374" t="str">
        <f t="shared" si="205"/>
        <v>PJ/yr.</v>
      </c>
      <c r="F374" s="1">
        <f t="shared" ref="F374:K374" si="219">F367*IFERROR(F146/F139,0)</f>
        <v>0</v>
      </c>
      <c r="G374" s="1">
        <f t="shared" si="219"/>
        <v>0</v>
      </c>
      <c r="H374" s="1">
        <f t="shared" si="219"/>
        <v>0</v>
      </c>
      <c r="I374" s="1">
        <f t="shared" si="219"/>
        <v>0</v>
      </c>
      <c r="J374" s="1">
        <f t="shared" si="219"/>
        <v>0</v>
      </c>
      <c r="K374" s="1">
        <f t="shared" si="219"/>
        <v>0</v>
      </c>
    </row>
    <row r="375" spans="1:15" x14ac:dyDescent="0.25">
      <c r="A375" s="5" t="s">
        <v>5</v>
      </c>
      <c r="B375" s="5" t="str">
        <f t="shared" si="216"/>
        <v>SPS4</v>
      </c>
      <c r="C375" s="5" t="s">
        <v>7</v>
      </c>
      <c r="D375" t="s">
        <v>129</v>
      </c>
      <c r="E375" t="str">
        <f t="shared" si="205"/>
        <v>PJ/yr.</v>
      </c>
      <c r="F375" s="1">
        <f>F361</f>
        <v>0.39444378323556911</v>
      </c>
      <c r="G375" s="1">
        <f t="shared" ref="G375:K375" si="220">G361</f>
        <v>0.40919154235105909</v>
      </c>
      <c r="H375" s="1">
        <f t="shared" si="220"/>
        <v>0.63366033681084188</v>
      </c>
      <c r="I375" s="1">
        <f t="shared" si="220"/>
        <v>0.69431074091253153</v>
      </c>
      <c r="J375" s="1">
        <f t="shared" si="220"/>
        <v>0.87138588181498677</v>
      </c>
      <c r="K375" s="1">
        <f t="shared" si="220"/>
        <v>1.1910411696536978</v>
      </c>
    </row>
    <row r="376" spans="1:15" x14ac:dyDescent="0.25">
      <c r="A376" s="5" t="s">
        <v>5</v>
      </c>
      <c r="B376" s="5" t="str">
        <f t="shared" si="216"/>
        <v>SPS4</v>
      </c>
      <c r="C376" s="5" t="s">
        <v>7</v>
      </c>
      <c r="D376" t="s">
        <v>130</v>
      </c>
      <c r="E376" t="str">
        <f t="shared" si="205"/>
        <v>PJ/yr.</v>
      </c>
      <c r="F376" s="1">
        <f t="shared" ref="F376:K376" si="221">F362</f>
        <v>0</v>
      </c>
      <c r="G376" s="1">
        <f t="shared" si="221"/>
        <v>0</v>
      </c>
      <c r="H376" s="1">
        <f t="shared" si="221"/>
        <v>0</v>
      </c>
      <c r="I376" s="1">
        <f t="shared" si="221"/>
        <v>0</v>
      </c>
      <c r="J376" s="1">
        <f t="shared" si="221"/>
        <v>0</v>
      </c>
      <c r="K376" s="1">
        <f t="shared" si="221"/>
        <v>0</v>
      </c>
    </row>
    <row r="377" spans="1:15" x14ac:dyDescent="0.25">
      <c r="A377" s="5" t="s">
        <v>5</v>
      </c>
      <c r="B377" s="5" t="str">
        <f t="shared" si="216"/>
        <v>SPS4</v>
      </c>
      <c r="C377" s="5" t="s">
        <v>7</v>
      </c>
      <c r="D377" t="s">
        <v>857</v>
      </c>
      <c r="E377" t="str">
        <f t="shared" si="205"/>
        <v>PJ/yr.</v>
      </c>
      <c r="F377" s="1">
        <f>SUM(F378:F384)</f>
        <v>0.61986120138332446</v>
      </c>
      <c r="G377" s="1">
        <f t="shared" ref="G377:K377" si="222">SUM(G378:G384)</f>
        <v>0.60189797150981428</v>
      </c>
      <c r="H377" s="1">
        <f t="shared" si="222"/>
        <v>1.1391779270231843</v>
      </c>
      <c r="I377" s="1">
        <f t="shared" si="222"/>
        <v>1.5626193537269109</v>
      </c>
      <c r="J377" s="1">
        <f t="shared" si="222"/>
        <v>4.1292898793422594</v>
      </c>
      <c r="K377" s="1">
        <f t="shared" si="222"/>
        <v>5.139785003083758</v>
      </c>
    </row>
    <row r="378" spans="1:15" x14ac:dyDescent="0.25">
      <c r="A378" s="5" t="s">
        <v>5</v>
      </c>
      <c r="B378" s="5" t="str">
        <f t="shared" si="216"/>
        <v>SPS4</v>
      </c>
      <c r="C378" s="5" t="s">
        <v>7</v>
      </c>
      <c r="D378" t="s">
        <v>131</v>
      </c>
      <c r="E378" t="str">
        <f t="shared" si="205"/>
        <v>PJ/yr.</v>
      </c>
      <c r="F378" s="1">
        <f>IFERROR(F150/SUM(F150,F205),0)*'[1]Electricity and CHPs_IN'!B$25</f>
        <v>0.43896943289123946</v>
      </c>
      <c r="G378" s="1">
        <f>IFERROR(G150/SUM(G150,G205),0)*'[1]Electricity and CHPs_IN'!C$25</f>
        <v>8.7452935327685277E-2</v>
      </c>
      <c r="H378" s="1">
        <f>IFERROR(H150/SUM(H150,H205),0)*'[1]Electricity and CHPs_IN'!D$25</f>
        <v>3.5220460888939221E-5</v>
      </c>
      <c r="I378" s="1">
        <f>IFERROR(I150/SUM(I150,I205),0)*'[1]Electricity and CHPs_IN'!E$25</f>
        <v>6.890797555152795E-3</v>
      </c>
      <c r="J378" s="1">
        <f>IFERROR(J150/SUM(J150,J205),0)*'[1]Electricity and CHPs_IN'!F$25</f>
        <v>3.8112962501820921E-3</v>
      </c>
      <c r="K378" s="1">
        <f>IFERROR(K150/SUM(K150,K205),0)*'[1]Electricity and CHPs_IN'!G$25</f>
        <v>2.5512223580459684E-3</v>
      </c>
    </row>
    <row r="379" spans="1:15" x14ac:dyDescent="0.25">
      <c r="A379" s="5" t="s">
        <v>5</v>
      </c>
      <c r="B379" s="5" t="str">
        <f t="shared" si="216"/>
        <v>SPS4</v>
      </c>
      <c r="C379" s="5" t="s">
        <v>7</v>
      </c>
      <c r="D379" t="s">
        <v>132</v>
      </c>
      <c r="E379" t="str">
        <f t="shared" si="205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1.1771180140668527E-4</v>
      </c>
      <c r="K379" s="1">
        <f>'[1]Electricity and CHPs_IN'!G$31</f>
        <v>6.1380183054278778E-5</v>
      </c>
    </row>
    <row r="380" spans="1:15" x14ac:dyDescent="0.25">
      <c r="A380" s="5" t="s">
        <v>5</v>
      </c>
      <c r="B380" s="5" t="str">
        <f t="shared" si="216"/>
        <v>SPS4</v>
      </c>
      <c r="C380" s="5" t="s">
        <v>7</v>
      </c>
      <c r="D380" t="s">
        <v>133</v>
      </c>
      <c r="E380" t="str">
        <f t="shared" si="205"/>
        <v>PJ/yr.</v>
      </c>
      <c r="F380" s="1">
        <f>IFERROR(F152/SUM(F152,F281),0)*'[1]Electricity and CHPs_IN'!B$42</f>
        <v>0.18089176849208496</v>
      </c>
      <c r="G380" s="1">
        <f>IFERROR(G152/SUM(G152,G281),0)*'[1]Electricity and CHPs_IN'!C$42</f>
        <v>0.514445036182129</v>
      </c>
      <c r="H380" s="1">
        <f>IFERROR(H152/SUM(H152,H281),0)*'[1]Electricity and CHPs_IN'!D$42</f>
        <v>1.1391427065622954</v>
      </c>
      <c r="I380" s="1">
        <f>IFERROR(I152/SUM(I152,I281),0)*'[1]Electricity and CHPs_IN'!E$42</f>
        <v>1.5533809184067926</v>
      </c>
      <c r="J380" s="1">
        <f>IFERROR(J152/SUM(J152,J281),0)*'[1]Electricity and CHPs_IN'!F$42</f>
        <v>4.1239948772874406</v>
      </c>
      <c r="K380" s="1">
        <f>IFERROR(K152/SUM(K152,K281),0)*'[1]Electricity and CHPs_IN'!G$42</f>
        <v>5.1366783490816248</v>
      </c>
    </row>
    <row r="381" spans="1:15" x14ac:dyDescent="0.25">
      <c r="A381" s="5" t="s">
        <v>5</v>
      </c>
      <c r="B381" s="5" t="str">
        <f t="shared" si="216"/>
        <v>SPS4</v>
      </c>
      <c r="C381" s="5" t="s">
        <v>7</v>
      </c>
      <c r="D381" t="s">
        <v>134</v>
      </c>
      <c r="E381" t="str">
        <f t="shared" si="205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</v>
      </c>
      <c r="K381" s="1">
        <f>IFERROR(K153/SUM(K153,K282),0)*'[1]Electricity and CHPs_IN'!G$43</f>
        <v>0</v>
      </c>
    </row>
    <row r="382" spans="1:15" x14ac:dyDescent="0.25">
      <c r="A382" s="5" t="s">
        <v>5</v>
      </c>
      <c r="B382" s="5" t="str">
        <f t="shared" si="216"/>
        <v>SPS4</v>
      </c>
      <c r="C382" s="5" t="s">
        <v>7</v>
      </c>
      <c r="D382" t="s">
        <v>135</v>
      </c>
      <c r="E382" t="str">
        <f t="shared" si="205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4.6515285459327102E-4</v>
      </c>
      <c r="J382" s="1">
        <f>IFERROR(J154/SUM(J283,J154),0)*'[1]Electricity and CHPs_IN'!F$50</f>
        <v>2.5552345332447639E-4</v>
      </c>
      <c r="K382" s="1">
        <f>IFERROR(K154/SUM(K283,K154),0)*'[1]Electricity and CHPs_IN'!G$50</f>
        <v>9.7113725103607627E-5</v>
      </c>
    </row>
    <row r="383" spans="1:15" x14ac:dyDescent="0.25">
      <c r="A383" s="5" t="s">
        <v>5</v>
      </c>
      <c r="B383" s="5" t="str">
        <f t="shared" si="216"/>
        <v>SPS4</v>
      </c>
      <c r="C383" s="5" t="s">
        <v>7</v>
      </c>
      <c r="D383" t="s">
        <v>136</v>
      </c>
      <c r="E383" t="str">
        <f t="shared" si="205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1.0856899422868017E-3</v>
      </c>
      <c r="J383" s="1">
        <f>IFERROR(J155/SUM(J284,J155),0)*'[1]Electricity and CHPs_IN'!F$53</f>
        <v>4.0284792129517775E-4</v>
      </c>
      <c r="K383" s="1">
        <f>IFERROR(K155/SUM(K284,K155),0)*'[1]Electricity and CHPs_IN'!G$53</f>
        <v>1.4428052267089451E-4</v>
      </c>
    </row>
    <row r="384" spans="1:15" x14ac:dyDescent="0.25">
      <c r="A384" s="5" t="s">
        <v>5</v>
      </c>
      <c r="B384" s="5" t="str">
        <f t="shared" si="216"/>
        <v>SPS4</v>
      </c>
      <c r="C384" s="5" t="s">
        <v>7</v>
      </c>
      <c r="D384" t="s">
        <v>294</v>
      </c>
      <c r="E384" t="str">
        <f t="shared" si="205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7.9679496808513362E-4</v>
      </c>
      <c r="J384" s="1">
        <f>IFERROR(J156/SUM(J285,J156),0)*'[1]Electricity and CHPs_IN'!F$56</f>
        <v>7.0762262861011652E-4</v>
      </c>
      <c r="K384" s="1">
        <f>IFERROR(K156/SUM(K285,K156),0)*'[1]Electricity and CHPs_IN'!G$56</f>
        <v>2.5265721325879543E-4</v>
      </c>
    </row>
    <row r="385" spans="1:11" x14ac:dyDescent="0.25">
      <c r="A385" s="5" t="s">
        <v>5</v>
      </c>
      <c r="B385" s="5" t="str">
        <f t="shared" si="216"/>
        <v>SPS4</v>
      </c>
      <c r="C385" s="5" t="s">
        <v>7</v>
      </c>
      <c r="D385" t="s">
        <v>858</v>
      </c>
      <c r="E385" t="str">
        <f t="shared" si="205"/>
        <v>PJ/yr.</v>
      </c>
      <c r="F385" s="1">
        <f>F386</f>
        <v>0.52400000000000047</v>
      </c>
      <c r="G385" s="1">
        <f t="shared" ref="G385:K385" si="223">G386</f>
        <v>0.54529214003557536</v>
      </c>
      <c r="H385" s="1">
        <f t="shared" si="223"/>
        <v>0.50317475832550185</v>
      </c>
      <c r="I385" s="1">
        <f t="shared" si="223"/>
        <v>2.4898100987884928</v>
      </c>
      <c r="J385" s="1">
        <f t="shared" si="223"/>
        <v>6.6692979971120971</v>
      </c>
      <c r="K385" s="1">
        <f t="shared" si="223"/>
        <v>13.338572339756015</v>
      </c>
    </row>
    <row r="386" spans="1:11" x14ac:dyDescent="0.25">
      <c r="A386" s="5" t="s">
        <v>5</v>
      </c>
      <c r="B386" s="5" t="str">
        <f t="shared" si="216"/>
        <v>SPS4</v>
      </c>
      <c r="C386" s="5" t="s">
        <v>7</v>
      </c>
      <c r="D386" t="s">
        <v>137</v>
      </c>
      <c r="E386" t="str">
        <f t="shared" si="205"/>
        <v>PJ/yr.</v>
      </c>
      <c r="F386" s="1">
        <f>'[1]Electricity and CHPs_IN'!B$33</f>
        <v>0.52400000000000047</v>
      </c>
      <c r="G386" s="1">
        <f>'[1]Electricity and CHPs_IN'!C$33</f>
        <v>0.54529214003557536</v>
      </c>
      <c r="H386" s="1">
        <f>'[1]Electricity and CHPs_IN'!D$33</f>
        <v>0.50317475832550185</v>
      </c>
      <c r="I386" s="1">
        <f>'[1]Electricity and CHPs_IN'!E$33</f>
        <v>2.4898100987884928</v>
      </c>
      <c r="J386" s="1">
        <f>'[1]Electricity and CHPs_IN'!F$33</f>
        <v>6.6692979971120971</v>
      </c>
      <c r="K386" s="1">
        <f>'[1]Electricity and CHPs_IN'!G$33</f>
        <v>13.338572339756015</v>
      </c>
    </row>
    <row r="387" spans="1:11" x14ac:dyDescent="0.25">
      <c r="A387" s="5" t="s">
        <v>5</v>
      </c>
      <c r="B387" s="5" t="str">
        <f t="shared" si="216"/>
        <v>SPS4</v>
      </c>
      <c r="C387" s="5" t="s">
        <v>7</v>
      </c>
      <c r="D387" t="s">
        <v>859</v>
      </c>
      <c r="E387" t="str">
        <f t="shared" si="205"/>
        <v>PJ/yr.</v>
      </c>
      <c r="F387" s="1">
        <f>SUM(F388:F392)</f>
        <v>9.3550000000000111</v>
      </c>
      <c r="G387" s="1">
        <f t="shared" ref="G387:K387" si="224">SUM(G388:G392)</f>
        <v>12.822579245580162</v>
      </c>
      <c r="H387" s="1">
        <f t="shared" si="224"/>
        <v>28.80000993311593</v>
      </c>
      <c r="I387" s="1">
        <f t="shared" si="224"/>
        <v>32.908229272738481</v>
      </c>
      <c r="J387" s="1">
        <f t="shared" si="224"/>
        <v>44.916654222330905</v>
      </c>
      <c r="K387" s="1">
        <f t="shared" si="224"/>
        <v>75.546681528826738</v>
      </c>
    </row>
    <row r="388" spans="1:11" x14ac:dyDescent="0.25">
      <c r="A388" s="5" t="s">
        <v>5</v>
      </c>
      <c r="B388" s="5" t="str">
        <f t="shared" si="216"/>
        <v>SPS4</v>
      </c>
      <c r="C388" s="5" t="s">
        <v>7</v>
      </c>
      <c r="D388" t="s">
        <v>138</v>
      </c>
      <c r="E388" t="str">
        <f t="shared" si="205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0.1408056027806257</v>
      </c>
      <c r="I388" s="1">
        <f>'[1]Electricity and CHPs_IN'!E34</f>
        <v>0.15584625171408761</v>
      </c>
      <c r="J388" s="1">
        <f>'[1]Electricity and CHPs_IN'!F34</f>
        <v>1.5267883493938024</v>
      </c>
      <c r="K388" s="1">
        <f>'[1]Electricity and CHPs_IN'!G34</f>
        <v>6.9637974184391407</v>
      </c>
    </row>
    <row r="389" spans="1:11" x14ac:dyDescent="0.25">
      <c r="A389" s="5" t="s">
        <v>5</v>
      </c>
      <c r="B389" s="5" t="str">
        <f t="shared" si="216"/>
        <v>SPS4</v>
      </c>
      <c r="C389" s="5" t="s">
        <v>7</v>
      </c>
      <c r="D389" t="s">
        <v>139</v>
      </c>
      <c r="E389" t="str">
        <f t="shared" si="205"/>
        <v>PJ/yr.</v>
      </c>
      <c r="F389" s="1">
        <f>'[1]Electricity and CHPs_IN'!B35</f>
        <v>3.517953999707534</v>
      </c>
      <c r="G389" s="1">
        <f>'[1]Electricity and CHPs_IN'!C35</f>
        <v>4.8498358001498492</v>
      </c>
      <c r="H389" s="1">
        <f>'[1]Electricity and CHPs_IN'!D35</f>
        <v>9.5945034499488386</v>
      </c>
      <c r="I389" s="1">
        <f>'[1]Electricity and CHPs_IN'!E35</f>
        <v>11.157193467520752</v>
      </c>
      <c r="J389" s="1">
        <f>'[1]Electricity and CHPs_IN'!F35</f>
        <v>23.249616601369251</v>
      </c>
      <c r="K389" s="1">
        <f>'[1]Electricity and CHPs_IN'!G35</f>
        <v>52.941630400731988</v>
      </c>
    </row>
    <row r="390" spans="1:11" x14ac:dyDescent="0.25">
      <c r="A390" s="5" t="s">
        <v>5</v>
      </c>
      <c r="B390" s="5" t="str">
        <f t="shared" si="216"/>
        <v>SPS4</v>
      </c>
      <c r="C390" s="5" t="s">
        <v>7</v>
      </c>
      <c r="D390" t="s">
        <v>140</v>
      </c>
      <c r="E390" t="str">
        <f t="shared" si="205"/>
        <v>PJ/yr.</v>
      </c>
      <c r="F390" s="1">
        <f>'[1]Electricity and CHPs_IN'!B36</f>
        <v>2.1349390887346629</v>
      </c>
      <c r="G390" s="1">
        <f>'[1]Electricity and CHPs_IN'!C36</f>
        <v>3.3906840796495485</v>
      </c>
      <c r="H390" s="1">
        <f>'[1]Electricity and CHPs_IN'!D36</f>
        <v>8.0481984095660764</v>
      </c>
      <c r="I390" s="1">
        <f>'[1]Electricity and CHPs_IN'!E36</f>
        <v>8.7799593720672053</v>
      </c>
      <c r="J390" s="1">
        <f>'[1]Electricity and CHPs_IN'!F36</f>
        <v>5.9842555835929954</v>
      </c>
      <c r="K390" s="1">
        <f>'[1]Electricity and CHPs_IN'!G36</f>
        <v>4.2225440679390346E-3</v>
      </c>
    </row>
    <row r="391" spans="1:11" x14ac:dyDescent="0.25">
      <c r="A391" s="5" t="s">
        <v>5</v>
      </c>
      <c r="B391" s="5" t="str">
        <f t="shared" si="216"/>
        <v>SPS4</v>
      </c>
      <c r="C391" s="5" t="s">
        <v>7</v>
      </c>
      <c r="D391" t="s">
        <v>141</v>
      </c>
      <c r="E391" t="str">
        <f t="shared" si="205"/>
        <v>PJ/yr.</v>
      </c>
      <c r="F391" s="1">
        <f>'[1]Electricity and CHPs_IN'!B37</f>
        <v>0.86248322578584768</v>
      </c>
      <c r="G391" s="1">
        <f>'[1]Electricity and CHPs_IN'!C37</f>
        <v>1.2876042538103001</v>
      </c>
      <c r="H391" s="1">
        <f>'[1]Electricity and CHPs_IN'!D37</f>
        <v>4.1841043651304028</v>
      </c>
      <c r="I391" s="1">
        <f>'[1]Electricity and CHPs_IN'!E37</f>
        <v>4.8672184108232539</v>
      </c>
      <c r="J391" s="1">
        <f>'[1]Electricity and CHPs_IN'!F37</f>
        <v>5.376442865507733</v>
      </c>
      <c r="K391" s="1">
        <f>'[1]Electricity and CHPs_IN'!G37</f>
        <v>5.9389441810749268</v>
      </c>
    </row>
    <row r="392" spans="1:11" x14ac:dyDescent="0.25">
      <c r="A392" s="5" t="s">
        <v>5</v>
      </c>
      <c r="B392" s="5" t="str">
        <f t="shared" si="216"/>
        <v>SPS4</v>
      </c>
      <c r="C392" s="5" t="s">
        <v>7</v>
      </c>
      <c r="D392" t="s">
        <v>142</v>
      </c>
      <c r="E392" t="str">
        <f t="shared" si="205"/>
        <v>PJ/yr.</v>
      </c>
      <c r="F392" s="1">
        <f>'[1]Electricity and CHPs_IN'!B38</f>
        <v>2.8396236857719668</v>
      </c>
      <c r="G392" s="1">
        <f>'[1]Electricity and CHPs_IN'!C38</f>
        <v>3.2944551119704646</v>
      </c>
      <c r="H392" s="1">
        <f>'[1]Electricity and CHPs_IN'!D38</f>
        <v>6.8323981056899878</v>
      </c>
      <c r="I392" s="1">
        <f>'[1]Electricity and CHPs_IN'!E38</f>
        <v>7.9480117706131743</v>
      </c>
      <c r="J392" s="1">
        <f>'[1]Electricity and CHPs_IN'!F38</f>
        <v>8.7795508224671206</v>
      </c>
      <c r="K392" s="1">
        <f>'[1]Electricity and CHPs_IN'!G38</f>
        <v>9.6980869845127362</v>
      </c>
    </row>
    <row r="393" spans="1:11" x14ac:dyDescent="0.25">
      <c r="A393" s="5" t="s">
        <v>5</v>
      </c>
      <c r="B393" s="5" t="str">
        <f t="shared" si="216"/>
        <v>SPS4</v>
      </c>
      <c r="C393" s="5" t="s">
        <v>7</v>
      </c>
      <c r="D393" t="s">
        <v>860</v>
      </c>
      <c r="E393" t="str">
        <f t="shared" si="205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tr">
        <f t="shared" si="216"/>
        <v>SPS4</v>
      </c>
      <c r="C394" s="5" t="s">
        <v>7</v>
      </c>
      <c r="D394" t="s">
        <v>143</v>
      </c>
      <c r="E394" t="str">
        <f t="shared" si="205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3.3499421066416533E-2</v>
      </c>
      <c r="K394" s="1">
        <f>'[1]Electricity and CHPs_IN'!G$32</f>
        <v>3.3549949757421323E-2</v>
      </c>
    </row>
    <row r="395" spans="1:11" x14ac:dyDescent="0.25">
      <c r="A395" s="5" t="s">
        <v>5</v>
      </c>
      <c r="B395" s="5" t="str">
        <f t="shared" si="216"/>
        <v>SPS4</v>
      </c>
      <c r="C395" s="5" t="s">
        <v>7</v>
      </c>
      <c r="D395" t="s">
        <v>861</v>
      </c>
      <c r="E395" t="str">
        <f t="shared" si="205"/>
        <v>PJ/yr.</v>
      </c>
      <c r="F395" s="1">
        <f t="shared" ref="F395" si="225">SUM(F396:F398)</f>
        <v>0</v>
      </c>
      <c r="G395" s="1">
        <f t="shared" ref="G395" si="226">SUM(G396:G398)</f>
        <v>0</v>
      </c>
      <c r="H395" s="1">
        <f t="shared" ref="H395" si="227">SUM(H396:H398)</f>
        <v>0</v>
      </c>
      <c r="I395" s="1">
        <f t="shared" ref="I395" si="228">SUM(I396:I398)</f>
        <v>3.2447728442423769E-3</v>
      </c>
      <c r="J395" s="1">
        <f t="shared" ref="J395" si="229">SUM(J396:J398)</f>
        <v>3.4683617161973324E-2</v>
      </c>
      <c r="K395" s="1">
        <f t="shared" ref="K395" si="230">SUM(K396:K398)</f>
        <v>0.13154378791334573</v>
      </c>
    </row>
    <row r="396" spans="1:11" x14ac:dyDescent="0.25">
      <c r="A396" s="5" t="s">
        <v>5</v>
      </c>
      <c r="B396" s="5" t="str">
        <f t="shared" si="216"/>
        <v>SPS4</v>
      </c>
      <c r="C396" s="5" t="s">
        <v>7</v>
      </c>
      <c r="D396" t="s">
        <v>144</v>
      </c>
      <c r="E396" t="str">
        <f t="shared" si="205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1.4986290223249134E-2</v>
      </c>
      <c r="K396" s="1">
        <f>IFERROR(K168/SUM(K168,K207),0)*'[1]Electricity and CHPs_IN'!G$30</f>
        <v>7.9008871269721032E-2</v>
      </c>
    </row>
    <row r="397" spans="1:11" x14ac:dyDescent="0.25">
      <c r="A397" s="5" t="s">
        <v>5</v>
      </c>
      <c r="B397" s="5" t="str">
        <f t="shared" si="216"/>
        <v>SPS4</v>
      </c>
      <c r="C397" s="5" t="s">
        <v>7</v>
      </c>
      <c r="D397" t="s">
        <v>145</v>
      </c>
      <c r="E397" t="str">
        <f t="shared" si="205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2.7312044472025021E-3</v>
      </c>
      <c r="J397" s="1">
        <f>IFERROR(J169/SUM(J169,J287),0)*'[1]Electricity and CHPs_IN'!F$46</f>
        <v>1.9120342444456553E-2</v>
      </c>
      <c r="K397" s="1">
        <f>IFERROR(K169/SUM(K169,K287),0)*'[1]Electricity and CHPs_IN'!G$46</f>
        <v>5.218331608765376E-2</v>
      </c>
    </row>
    <row r="398" spans="1:11" x14ac:dyDescent="0.25">
      <c r="A398" s="5" t="s">
        <v>5</v>
      </c>
      <c r="B398" s="5" t="str">
        <f t="shared" si="216"/>
        <v>SPS4</v>
      </c>
      <c r="C398" s="5" t="s">
        <v>7</v>
      </c>
      <c r="D398" t="s">
        <v>237</v>
      </c>
      <c r="E398" t="str">
        <f t="shared" si="205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5.1356839703987488E-4</v>
      </c>
      <c r="J398" s="1">
        <f>IFERROR(J170/SUM(J170,J288),0)*'[1]Electricity and CHPs_IN'!F$57</f>
        <v>5.7698449426763572E-4</v>
      </c>
      <c r="K398" s="1">
        <f>IFERROR(K170/SUM(K170,K288),0)*'[1]Electricity and CHPs_IN'!G$57</f>
        <v>3.5160055597095616E-4</v>
      </c>
    </row>
    <row r="399" spans="1:11" x14ac:dyDescent="0.25">
      <c r="A399" s="5" t="s">
        <v>5</v>
      </c>
      <c r="B399" s="5" t="str">
        <f t="shared" si="216"/>
        <v>SPS4</v>
      </c>
      <c r="C399" s="5" t="s">
        <v>7</v>
      </c>
      <c r="D399" t="s">
        <v>862</v>
      </c>
      <c r="E399" t="str">
        <f t="shared" si="205"/>
        <v>PJ/yr.</v>
      </c>
      <c r="F399" s="1">
        <f>SUM(F400:F406)</f>
        <v>0.14176249507502489</v>
      </c>
      <c r="G399" s="1">
        <f t="shared" ref="G399:K399" si="231">SUM(G400:G406)</f>
        <v>1.4439767633470324E-2</v>
      </c>
      <c r="H399" s="1">
        <f t="shared" si="231"/>
        <v>0.10588625498064774</v>
      </c>
      <c r="I399" s="1">
        <f t="shared" si="231"/>
        <v>0.30310729427854205</v>
      </c>
      <c r="J399" s="1">
        <f t="shared" si="231"/>
        <v>0.24882911571665353</v>
      </c>
      <c r="K399" s="1">
        <f t="shared" si="231"/>
        <v>1.5917013306844867</v>
      </c>
    </row>
    <row r="400" spans="1:11" x14ac:dyDescent="0.25">
      <c r="A400" s="5" t="s">
        <v>5</v>
      </c>
      <c r="B400" s="5" t="str">
        <f t="shared" si="216"/>
        <v>SPS4</v>
      </c>
      <c r="C400" s="5" t="s">
        <v>7</v>
      </c>
      <c r="D400" t="s">
        <v>146</v>
      </c>
      <c r="E400" t="str">
        <f t="shared" si="205"/>
        <v>PJ/yr.</v>
      </c>
      <c r="F400" s="1">
        <f>'[1]Electricity and CHPs_IN'!B63</f>
        <v>0.13502405841572682</v>
      </c>
      <c r="G400" s="1">
        <f>'[1]Electricity and CHPs_IN'!C63</f>
        <v>8.4435000330121222E-3</v>
      </c>
      <c r="H400" s="1">
        <f>'[1]Electricity and CHPs_IN'!D63</f>
        <v>9.9096128133169245E-2</v>
      </c>
      <c r="I400" s="1">
        <f>'[1]Electricity and CHPs_IN'!E63</f>
        <v>9.9080940439404047E-2</v>
      </c>
      <c r="J400" s="1">
        <f>'[1]Electricity and CHPs_IN'!F63</f>
        <v>2.8329846775653943E-2</v>
      </c>
      <c r="K400" s="1">
        <f>'[1]Electricity and CHPs_IN'!G63</f>
        <v>0.13499045070608531</v>
      </c>
    </row>
    <row r="401" spans="1:19" x14ac:dyDescent="0.25">
      <c r="A401" s="5" t="s">
        <v>5</v>
      </c>
      <c r="B401" s="5" t="str">
        <f t="shared" si="216"/>
        <v>SPS4</v>
      </c>
      <c r="C401" s="5" t="s">
        <v>7</v>
      </c>
      <c r="D401" t="s">
        <v>147</v>
      </c>
      <c r="E401" t="str">
        <f t="shared" si="205"/>
        <v>PJ/yr.</v>
      </c>
      <c r="F401" s="1">
        <f>'[1]Electricity and CHPs_IN'!B64</f>
        <v>1.87436790189795E-3</v>
      </c>
      <c r="G401" s="1">
        <f>'[1]Electricity and CHPs_IN'!C64</f>
        <v>1.4824442228681524E-3</v>
      </c>
      <c r="H401" s="1">
        <f>'[1]Electricity and CHPs_IN'!D64</f>
        <v>1.8963246804154911E-3</v>
      </c>
      <c r="I401" s="1">
        <f>'[1]Electricity and CHPs_IN'!E64</f>
        <v>1.7680793475544966E-3</v>
      </c>
      <c r="J401" s="1">
        <f>'[1]Electricity and CHPs_IN'!F64</f>
        <v>4.1014094120124626E-3</v>
      </c>
      <c r="K401" s="1">
        <f>'[1]Electricity and CHPs_IN'!G64</f>
        <v>0.89253646487804017</v>
      </c>
    </row>
    <row r="402" spans="1:19" x14ac:dyDescent="0.25">
      <c r="A402" s="5" t="s">
        <v>5</v>
      </c>
      <c r="B402" s="5" t="str">
        <f t="shared" si="216"/>
        <v>SPS4</v>
      </c>
      <c r="C402" s="5" t="s">
        <v>7</v>
      </c>
      <c r="D402" t="s">
        <v>148</v>
      </c>
      <c r="E402" t="str">
        <f t="shared" si="205"/>
        <v>PJ/yr.</v>
      </c>
      <c r="F402" s="1">
        <f>'[1]Electricity and CHPs_IN'!B65</f>
        <v>1.6305727844653792E-3</v>
      </c>
      <c r="G402" s="1">
        <f>'[1]Electricity and CHPs_IN'!C65</f>
        <v>1.2880024545846506E-3</v>
      </c>
      <c r="H402" s="1">
        <f>'[1]Electricity and CHPs_IN'!D65</f>
        <v>1.6507224944703916E-3</v>
      </c>
      <c r="I402" s="1">
        <f>'[1]Electricity and CHPs_IN'!E65</f>
        <v>1.5881520452541908E-3</v>
      </c>
      <c r="J402" s="1">
        <f>'[1]Electricity and CHPs_IN'!F65</f>
        <v>3.772826528100238E-3</v>
      </c>
      <c r="K402" s="1">
        <f>'[1]Electricity and CHPs_IN'!G65</f>
        <v>5.2604042316424293E-2</v>
      </c>
    </row>
    <row r="403" spans="1:19" x14ac:dyDescent="0.25">
      <c r="A403" s="5" t="s">
        <v>5</v>
      </c>
      <c r="B403" s="5" t="str">
        <f t="shared" si="216"/>
        <v>SPS4</v>
      </c>
      <c r="C403" s="5" t="s">
        <v>7</v>
      </c>
      <c r="D403" t="s">
        <v>149</v>
      </c>
      <c r="E403" t="str">
        <f t="shared" si="205"/>
        <v>PJ/yr.</v>
      </c>
      <c r="F403" s="1">
        <f>'[1]Electricity and CHPs_IN'!B66</f>
        <v>5.0589103448395059E-4</v>
      </c>
      <c r="G403" s="1">
        <f>'[1]Electricity and CHPs_IN'!C66</f>
        <v>5.0478232612025694E-4</v>
      </c>
      <c r="H403" s="1">
        <f>'[1]Electricity and CHPs_IN'!D66</f>
        <v>5.061731859086323E-4</v>
      </c>
      <c r="I403" s="1">
        <f>'[1]Electricity and CHPs_IN'!E66</f>
        <v>1.8171444940869696E-3</v>
      </c>
      <c r="J403" s="1">
        <f>'[1]Electricity and CHPs_IN'!F66</f>
        <v>2.9718111595252719E-3</v>
      </c>
      <c r="K403" s="1">
        <f>'[1]Electricity and CHPs_IN'!G66</f>
        <v>2.3766920943462315E-3</v>
      </c>
    </row>
    <row r="404" spans="1:19" x14ac:dyDescent="0.25">
      <c r="A404" s="5" t="s">
        <v>5</v>
      </c>
      <c r="B404" s="5" t="str">
        <f t="shared" si="216"/>
        <v>SPS4</v>
      </c>
      <c r="C404" s="5" t="s">
        <v>7</v>
      </c>
      <c r="D404" t="s">
        <v>1854</v>
      </c>
      <c r="E404" t="str">
        <f t="shared" si="205"/>
        <v>PJ/yr.</v>
      </c>
      <c r="F404" s="1">
        <f>'[1]Electricity and CHPs_IN'!B67</f>
        <v>1.1096567286190398E-3</v>
      </c>
      <c r="G404" s="1">
        <f>'[1]Electricity and CHPs_IN'!C67</f>
        <v>1.1069616362523003E-3</v>
      </c>
      <c r="H404" s="1">
        <f>'[1]Electricity and CHPs_IN'!D67</f>
        <v>1.1136230983635042E-3</v>
      </c>
      <c r="I404" s="1">
        <f>'[1]Electricity and CHPs_IN'!E67</f>
        <v>9.6951857217236259E-2</v>
      </c>
      <c r="J404" s="1">
        <f>'[1]Electricity and CHPs_IN'!F67</f>
        <v>5.0784006998184188E-2</v>
      </c>
      <c r="K404" s="1">
        <f>'[1]Electricity and CHPs_IN'!G67</f>
        <v>0.25266575865511237</v>
      </c>
    </row>
    <row r="405" spans="1:19" x14ac:dyDescent="0.25">
      <c r="A405" s="5" t="s">
        <v>5</v>
      </c>
      <c r="B405" s="5" t="str">
        <f t="shared" si="216"/>
        <v>SPS4</v>
      </c>
      <c r="C405" s="5" t="s">
        <v>7</v>
      </c>
      <c r="D405" t="s">
        <v>150</v>
      </c>
      <c r="E405" t="str">
        <f t="shared" si="205"/>
        <v>PJ/yr.</v>
      </c>
      <c r="F405" s="1">
        <f>'[1]Electricity and CHPs_IN'!B68</f>
        <v>1.1097288575624264E-3</v>
      </c>
      <c r="G405" s="1">
        <f>'[1]Electricity and CHPs_IN'!C68</f>
        <v>1.107036237180723E-3</v>
      </c>
      <c r="H405" s="1">
        <f>'[1]Electricity and CHPs_IN'!D68</f>
        <v>1.1147432343041241E-3</v>
      </c>
      <c r="I405" s="1">
        <f>'[1]Electricity and CHPs_IN'!E68</f>
        <v>0.10003524463831556</v>
      </c>
      <c r="J405" s="1">
        <f>'[1]Electricity and CHPs_IN'!F68</f>
        <v>0.15613250998260633</v>
      </c>
      <c r="K405" s="1">
        <f>'[1]Electricity and CHPs_IN'!G68</f>
        <v>0.25455732570584133</v>
      </c>
    </row>
    <row r="406" spans="1:19" x14ac:dyDescent="0.25">
      <c r="A406" s="5" t="s">
        <v>5</v>
      </c>
      <c r="B406" s="5" t="str">
        <f t="shared" si="216"/>
        <v>SPS4</v>
      </c>
      <c r="C406" s="5" t="s">
        <v>7</v>
      </c>
      <c r="D406" t="s">
        <v>151</v>
      </c>
      <c r="E406" t="str">
        <f t="shared" si="205"/>
        <v>PJ/yr.</v>
      </c>
      <c r="F406" s="1">
        <f>'[1]Electricity and CHPs_IN'!B69</f>
        <v>5.0821935226933953E-4</v>
      </c>
      <c r="G406" s="1">
        <f>'[1]Electricity and CHPs_IN'!C69</f>
        <v>5.0704072345211771E-4</v>
      </c>
      <c r="H406" s="1">
        <f>'[1]Electricity and CHPs_IN'!D69</f>
        <v>5.085401540163519E-4</v>
      </c>
      <c r="I406" s="1">
        <f>'[1]Electricity and CHPs_IN'!E69</f>
        <v>1.865876096690528E-3</v>
      </c>
      <c r="J406" s="1">
        <f>'[1]Electricity and CHPs_IN'!F69</f>
        <v>2.7367048605710831E-3</v>
      </c>
      <c r="K406" s="1">
        <f>'[1]Electricity and CHPs_IN'!G69</f>
        <v>1.9705963286369794E-3</v>
      </c>
    </row>
    <row r="407" spans="1:19" x14ac:dyDescent="0.25">
      <c r="A407" s="5"/>
      <c r="B407" s="9" t="str">
        <f t="shared" si="216"/>
        <v>SPS4</v>
      </c>
      <c r="C407" s="2" t="str">
        <f t="shared" ref="B407:C407" si="232">C406</f>
        <v>CH</v>
      </c>
      <c r="D407" s="2" t="s">
        <v>190</v>
      </c>
      <c r="E407" s="2" t="str">
        <f>E395</f>
        <v>PJ/yr.</v>
      </c>
      <c r="F407" s="3">
        <f>F408+F461</f>
        <v>55.71071538723762</v>
      </c>
      <c r="G407" s="3">
        <f t="shared" ref="G407:K407" si="233">G408+G461</f>
        <v>53.543108856940989</v>
      </c>
      <c r="H407" s="3">
        <f t="shared" si="233"/>
        <v>51.346859588809828</v>
      </c>
      <c r="I407" s="3">
        <f t="shared" si="233"/>
        <v>51.393155404887281</v>
      </c>
      <c r="J407" s="3">
        <f t="shared" si="233"/>
        <v>64.23805044088617</v>
      </c>
      <c r="K407" s="3">
        <f t="shared" si="233"/>
        <v>64.999070946242966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tr">
        <f t="shared" si="216"/>
        <v>SPS4</v>
      </c>
      <c r="C408" s="5" t="s">
        <v>7</v>
      </c>
      <c r="D408" t="s">
        <v>863</v>
      </c>
      <c r="E408" t="str">
        <f>E396</f>
        <v>PJ/yr.</v>
      </c>
      <c r="F408" s="1">
        <f t="shared" ref="F408:K408" si="234">F409+F438</f>
        <v>47.816618458806836</v>
      </c>
      <c r="G408" s="1">
        <f t="shared" si="234"/>
        <v>44.917618279176665</v>
      </c>
      <c r="H408" s="1">
        <f t="shared" si="234"/>
        <v>41.078109416724303</v>
      </c>
      <c r="I408" s="1">
        <f t="shared" si="234"/>
        <v>40.199433434622108</v>
      </c>
      <c r="J408" s="1">
        <f t="shared" si="234"/>
        <v>38.589136019099683</v>
      </c>
      <c r="K408" s="1">
        <f t="shared" si="234"/>
        <v>38.665367330907372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tr">
        <f t="shared" si="216"/>
        <v>SPS4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39.557932011904299</v>
      </c>
      <c r="G409" s="1">
        <f t="shared" ref="G409:K409" si="235">SUM(G410,G416,G425,G434,G436)</f>
        <v>34.015431909122526</v>
      </c>
      <c r="H409" s="1">
        <f t="shared" si="235"/>
        <v>33.842092708192652</v>
      </c>
      <c r="I409" s="1">
        <f t="shared" si="235"/>
        <v>33.553880383729428</v>
      </c>
      <c r="J409" s="1">
        <f t="shared" si="235"/>
        <v>32.980911686316773</v>
      </c>
      <c r="K409" s="1">
        <f t="shared" si="235"/>
        <v>32.447464564344727</v>
      </c>
    </row>
    <row r="410" spans="1:19" x14ac:dyDescent="0.25">
      <c r="A410" s="5"/>
      <c r="B410" s="5" t="str">
        <f t="shared" si="216"/>
        <v>SPS4</v>
      </c>
      <c r="C410" s="5" t="s">
        <v>7</v>
      </c>
      <c r="D410" t="s">
        <v>865</v>
      </c>
      <c r="E410" t="s">
        <v>8</v>
      </c>
      <c r="F410" s="1">
        <f>F411</f>
        <v>1.5647875587964759E-2</v>
      </c>
      <c r="G410" s="1">
        <f t="shared" ref="G410:K410" si="236">G411</f>
        <v>1.123681734526767E-3</v>
      </c>
      <c r="H410" s="1">
        <f t="shared" si="236"/>
        <v>3.0784306964613097E-3</v>
      </c>
      <c r="I410" s="1">
        <f t="shared" si="236"/>
        <v>1.9161035335014264E-3</v>
      </c>
      <c r="J410" s="1">
        <f t="shared" si="236"/>
        <v>1.9062838621439365E-3</v>
      </c>
      <c r="K410" s="1">
        <f t="shared" si="236"/>
        <v>6.3920820344506553E-4</v>
      </c>
    </row>
    <row r="411" spans="1:19" x14ac:dyDescent="0.25">
      <c r="A411" s="5"/>
      <c r="B411" s="5" t="str">
        <f t="shared" si="216"/>
        <v>SPS4</v>
      </c>
      <c r="C411" s="5" t="s">
        <v>7</v>
      </c>
      <c r="D411" t="s">
        <v>231</v>
      </c>
      <c r="E411" t="s">
        <v>8</v>
      </c>
      <c r="F411" s="1">
        <f>'[1]Electricity and CHPs_IN'!B$28-F298</f>
        <v>1.5647875587964759E-2</v>
      </c>
      <c r="G411" s="1">
        <f>'[1]Electricity and CHPs_IN'!C$28-G298</f>
        <v>1.123681734526767E-3</v>
      </c>
      <c r="H411" s="1">
        <f>'[1]Electricity and CHPs_IN'!D$28-H298</f>
        <v>3.0784306964613097E-3</v>
      </c>
      <c r="I411" s="1">
        <f>'[1]Electricity and CHPs_IN'!E$28-I298</f>
        <v>1.9161035335014264E-3</v>
      </c>
      <c r="J411" s="1">
        <f>'[1]Electricity and CHPs_IN'!F$28-J298</f>
        <v>1.9062838621439365E-3</v>
      </c>
      <c r="K411" s="1">
        <f>'[1]Electricity and CHPs_IN'!G$28-K298</f>
        <v>6.3920820344506553E-4</v>
      </c>
    </row>
    <row r="412" spans="1:19" x14ac:dyDescent="0.25">
      <c r="A412" s="5"/>
      <c r="B412" s="5" t="str">
        <f t="shared" si="216"/>
        <v>SPS4</v>
      </c>
      <c r="C412" s="5" t="s">
        <v>7</v>
      </c>
      <c r="D412" t="s">
        <v>866</v>
      </c>
      <c r="E412" t="s">
        <v>8</v>
      </c>
      <c r="F412" s="1">
        <f>F413</f>
        <v>1.5647875587964759E-2</v>
      </c>
      <c r="G412" s="1">
        <f t="shared" ref="G412:K412" si="237">G413</f>
        <v>1.123681734526767E-3</v>
      </c>
      <c r="H412" s="1">
        <f t="shared" si="237"/>
        <v>3.0784306964613097E-3</v>
      </c>
      <c r="I412" s="1">
        <f t="shared" si="237"/>
        <v>1.9161035335014264E-3</v>
      </c>
      <c r="J412" s="1">
        <f t="shared" si="237"/>
        <v>1.9062838621439365E-3</v>
      </c>
      <c r="K412" s="1">
        <f t="shared" si="237"/>
        <v>6.3920820344506553E-4</v>
      </c>
    </row>
    <row r="413" spans="1:19" x14ac:dyDescent="0.25">
      <c r="A413" s="5"/>
      <c r="B413" s="5" t="str">
        <f t="shared" si="216"/>
        <v>SPS4</v>
      </c>
      <c r="C413" s="5" t="s">
        <v>7</v>
      </c>
      <c r="D413" t="s">
        <v>523</v>
      </c>
      <c r="E413" t="s">
        <v>8</v>
      </c>
      <c r="F413" s="1">
        <f>F411-F415</f>
        <v>1.5647875587964759E-2</v>
      </c>
      <c r="G413" s="1">
        <f t="shared" ref="G413:K413" si="238">G411-G415</f>
        <v>1.123681734526767E-3</v>
      </c>
      <c r="H413" s="1">
        <f t="shared" si="238"/>
        <v>3.0784306964613097E-3</v>
      </c>
      <c r="I413" s="1">
        <f t="shared" si="238"/>
        <v>1.9161035335014264E-3</v>
      </c>
      <c r="J413" s="1">
        <f t="shared" si="238"/>
        <v>1.9062838621439365E-3</v>
      </c>
      <c r="K413" s="1">
        <f t="shared" si="238"/>
        <v>6.3920820344506553E-4</v>
      </c>
    </row>
    <row r="414" spans="1:19" x14ac:dyDescent="0.25">
      <c r="A414" s="5"/>
      <c r="B414" s="5" t="str">
        <f t="shared" si="216"/>
        <v>SPS4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39">G415</f>
        <v>0</v>
      </c>
      <c r="H414" s="1">
        <f t="shared" si="239"/>
        <v>0</v>
      </c>
      <c r="I414" s="1">
        <f t="shared" si="239"/>
        <v>0</v>
      </c>
      <c r="J414" s="1">
        <f t="shared" si="239"/>
        <v>0</v>
      </c>
      <c r="K414" s="1">
        <f t="shared" si="239"/>
        <v>0</v>
      </c>
    </row>
    <row r="415" spans="1:19" x14ac:dyDescent="0.25">
      <c r="A415" s="5"/>
      <c r="B415" s="5" t="str">
        <f t="shared" si="216"/>
        <v>SPS4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0">IFERROR(G306/G298,0)*G411</f>
        <v>0</v>
      </c>
      <c r="H415" s="1">
        <f t="shared" si="240"/>
        <v>0</v>
      </c>
      <c r="I415" s="1">
        <f t="shared" si="240"/>
        <v>0</v>
      </c>
      <c r="J415" s="1">
        <f t="shared" si="240"/>
        <v>0</v>
      </c>
      <c r="K415" s="1">
        <f t="shared" si="240"/>
        <v>0</v>
      </c>
    </row>
    <row r="416" spans="1:19" x14ac:dyDescent="0.25">
      <c r="A416" s="5"/>
      <c r="B416" s="5" t="str">
        <f t="shared" si="216"/>
        <v>SPS4</v>
      </c>
      <c r="C416" s="5" t="s">
        <v>7</v>
      </c>
      <c r="D416" t="s">
        <v>868</v>
      </c>
      <c r="E416" t="s">
        <v>8</v>
      </c>
      <c r="F416" s="1">
        <f>SUM(F417:F418)</f>
        <v>2.3909928525866526</v>
      </c>
      <c r="G416" s="1">
        <f t="shared" ref="G416:K416" si="241">SUM(G417:G418)</f>
        <v>1.5369270013854638E-3</v>
      </c>
      <c r="H416" s="1">
        <f t="shared" si="241"/>
        <v>2.9878701748015588E-3</v>
      </c>
      <c r="I416" s="1">
        <f t="shared" si="241"/>
        <v>6.8946473954069366E-3</v>
      </c>
      <c r="J416" s="1">
        <f t="shared" si="241"/>
        <v>1.1079125681573057E-2</v>
      </c>
      <c r="K416" s="1">
        <f t="shared" si="241"/>
        <v>1.7451300054287674E-3</v>
      </c>
    </row>
    <row r="417" spans="1:11" x14ac:dyDescent="0.25">
      <c r="A417" s="5"/>
      <c r="B417" s="5" t="str">
        <f t="shared" si="216"/>
        <v>SPS4</v>
      </c>
      <c r="C417" s="5" t="s">
        <v>7</v>
      </c>
      <c r="D417" t="s">
        <v>191</v>
      </c>
      <c r="E417" t="s">
        <v>8</v>
      </c>
      <c r="F417" s="1">
        <f>'[1]Electricity and CHPs_IN'!B$24-F312</f>
        <v>2.3909928525866526</v>
      </c>
      <c r="G417" s="1">
        <f>'[1]Electricity and CHPs_IN'!C$24-G312</f>
        <v>1.5369270013854638E-3</v>
      </c>
      <c r="H417" s="1">
        <f>'[1]Electricity and CHPs_IN'!D$24-H312</f>
        <v>2.9878701748015588E-3</v>
      </c>
      <c r="I417" s="1">
        <f>'[1]Electricity and CHPs_IN'!E$24-I312</f>
        <v>6.8946473954069366E-3</v>
      </c>
      <c r="J417" s="1">
        <f>'[1]Electricity and CHPs_IN'!F$24-J312</f>
        <v>5.9928390839373413E-3</v>
      </c>
      <c r="K417" s="1">
        <f>'[1]Electricity and CHPs_IN'!G$24-K312</f>
        <v>6.526846872692175E-4</v>
      </c>
    </row>
    <row r="418" spans="1:11" x14ac:dyDescent="0.25">
      <c r="A418" s="5"/>
      <c r="B418" s="5" t="str">
        <f t="shared" si="216"/>
        <v>SPS4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5.086286597635715E-3</v>
      </c>
      <c r="K418" s="1">
        <f>'[1]Electricity and CHPs_IN'!G$29-K313</f>
        <v>1.09244531815955E-3</v>
      </c>
    </row>
    <row r="419" spans="1:11" x14ac:dyDescent="0.25">
      <c r="A419" s="5"/>
      <c r="B419" s="5" t="str">
        <f t="shared" si="216"/>
        <v>SPS4</v>
      </c>
      <c r="C419" s="5" t="s">
        <v>7</v>
      </c>
      <c r="D419" t="s">
        <v>869</v>
      </c>
      <c r="E419" t="s">
        <v>8</v>
      </c>
      <c r="F419" s="1">
        <f>SUM(F420:F421)</f>
        <v>2.3293682972398226</v>
      </c>
      <c r="G419" s="1">
        <f t="shared" ref="G419:K419" si="242">SUM(G420:G421)</f>
        <v>1.4898530733126443E-3</v>
      </c>
      <c r="H419" s="1">
        <f t="shared" si="242"/>
        <v>2.8894858276742172E-3</v>
      </c>
      <c r="I419" s="1">
        <f t="shared" si="242"/>
        <v>6.6896446006913064E-3</v>
      </c>
      <c r="J419" s="1">
        <f t="shared" si="242"/>
        <v>1.1040476077459983E-2</v>
      </c>
      <c r="K419" s="1">
        <f t="shared" si="242"/>
        <v>1.7370065128560069E-3</v>
      </c>
    </row>
    <row r="420" spans="1:11" x14ac:dyDescent="0.25">
      <c r="A420" s="5"/>
      <c r="B420" s="5" t="str">
        <f t="shared" si="216"/>
        <v>SPS4</v>
      </c>
      <c r="C420" s="5" t="s">
        <v>7</v>
      </c>
      <c r="D420" t="s">
        <v>594</v>
      </c>
      <c r="E420" t="s">
        <v>8</v>
      </c>
      <c r="F420" s="1">
        <f>F417-F423</f>
        <v>2.3293682972398226</v>
      </c>
      <c r="G420" s="1">
        <f t="shared" ref="G420:K420" si="243">G417-G423</f>
        <v>1.4898530733126443E-3</v>
      </c>
      <c r="H420" s="1">
        <f t="shared" si="243"/>
        <v>2.8894858276742172E-3</v>
      </c>
      <c r="I420" s="1">
        <f t="shared" si="243"/>
        <v>6.6896446006913064E-3</v>
      </c>
      <c r="J420" s="1">
        <f t="shared" si="243"/>
        <v>5.9719330246719637E-3</v>
      </c>
      <c r="K420" s="1">
        <f t="shared" si="243"/>
        <v>6.496464728136226E-4</v>
      </c>
    </row>
    <row r="421" spans="1:11" x14ac:dyDescent="0.25">
      <c r="A421" s="5"/>
      <c r="B421" s="5" t="str">
        <f t="shared" si="216"/>
        <v>SPS4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44">G418-G424</f>
        <v>0</v>
      </c>
      <c r="H421" s="1">
        <f t="shared" si="244"/>
        <v>0</v>
      </c>
      <c r="I421" s="1">
        <f t="shared" si="244"/>
        <v>0</v>
      </c>
      <c r="J421" s="1">
        <f t="shared" si="244"/>
        <v>5.0685430527880188E-3</v>
      </c>
      <c r="K421" s="1">
        <f t="shared" si="244"/>
        <v>1.0873600400423842E-3</v>
      </c>
    </row>
    <row r="422" spans="1:11" x14ac:dyDescent="0.25">
      <c r="A422" s="5"/>
      <c r="B422" s="5" t="str">
        <f t="shared" si="216"/>
        <v>SPS4</v>
      </c>
      <c r="C422" s="5" t="s">
        <v>7</v>
      </c>
      <c r="D422" t="s">
        <v>870</v>
      </c>
      <c r="E422" t="s">
        <v>8</v>
      </c>
      <c r="F422" s="1">
        <f>SUM(F423:F424)</f>
        <v>6.1624555346829889E-2</v>
      </c>
      <c r="G422" s="1">
        <f t="shared" ref="G422:K422" si="245">SUM(G423:G424)</f>
        <v>4.7073928072819456E-5</v>
      </c>
      <c r="H422" s="1">
        <f t="shared" si="245"/>
        <v>9.8384347127341423E-5</v>
      </c>
      <c r="I422" s="1">
        <f t="shared" si="245"/>
        <v>2.0500279471563027E-4</v>
      </c>
      <c r="J422" s="1">
        <f t="shared" si="245"/>
        <v>3.8649604113073241E-5</v>
      </c>
      <c r="K422" s="1">
        <f t="shared" si="245"/>
        <v>8.1234925727607575E-6</v>
      </c>
    </row>
    <row r="423" spans="1:11" x14ac:dyDescent="0.25">
      <c r="A423" s="5"/>
      <c r="B423" s="5" t="str">
        <f t="shared" si="216"/>
        <v>SPS4</v>
      </c>
      <c r="C423" s="5" t="s">
        <v>7</v>
      </c>
      <c r="D423" t="s">
        <v>655</v>
      </c>
      <c r="E423" t="s">
        <v>8</v>
      </c>
      <c r="F423" s="1">
        <f>IFERROR(F344/F312,0)*F417</f>
        <v>6.1624555346829889E-2</v>
      </c>
      <c r="G423" s="1">
        <f t="shared" ref="G423:K423" si="246">IFERROR(G344/G312,0)*G417</f>
        <v>4.7073928072819456E-5</v>
      </c>
      <c r="H423" s="1">
        <f t="shared" si="246"/>
        <v>9.8384347127341423E-5</v>
      </c>
      <c r="I423" s="1">
        <f t="shared" si="246"/>
        <v>2.0500279471563027E-4</v>
      </c>
      <c r="J423" s="1">
        <f t="shared" si="246"/>
        <v>2.0906059265377422E-5</v>
      </c>
      <c r="K423" s="1">
        <f t="shared" si="246"/>
        <v>3.0382144555949517E-6</v>
      </c>
    </row>
    <row r="424" spans="1:11" x14ac:dyDescent="0.25">
      <c r="A424" s="5"/>
      <c r="B424" s="5" t="str">
        <f t="shared" si="216"/>
        <v>SPS4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47">IFERROR(G345/G313,0)*G418</f>
        <v>0</v>
      </c>
      <c r="H424" s="1">
        <f t="shared" si="247"/>
        <v>0</v>
      </c>
      <c r="I424" s="1">
        <f t="shared" si="247"/>
        <v>0</v>
      </c>
      <c r="J424" s="1">
        <f t="shared" si="247"/>
        <v>1.7743544847695819E-5</v>
      </c>
      <c r="K424" s="1">
        <f t="shared" si="247"/>
        <v>5.0852781171658062E-6</v>
      </c>
    </row>
    <row r="425" spans="1:11" x14ac:dyDescent="0.25">
      <c r="A425" s="5"/>
      <c r="B425" s="5" t="str">
        <f t="shared" si="216"/>
        <v>SPS4</v>
      </c>
      <c r="C425" s="5" t="s">
        <v>7</v>
      </c>
      <c r="D425" t="s">
        <v>871</v>
      </c>
      <c r="E425" t="s">
        <v>8</v>
      </c>
      <c r="F425" s="1">
        <f>SUM(F426:F427)</f>
        <v>35.838173864894152</v>
      </c>
      <c r="G425" s="1">
        <f t="shared" ref="G425:K425" si="248">SUM(G426:G427)</f>
        <v>33.784046797322141</v>
      </c>
      <c r="H425" s="1">
        <f t="shared" si="248"/>
        <v>33.82983063251821</v>
      </c>
      <c r="I425" s="1">
        <f t="shared" si="248"/>
        <v>33.526912702036427</v>
      </c>
      <c r="J425" s="1">
        <f t="shared" si="248"/>
        <v>32.939686801583299</v>
      </c>
      <c r="K425" s="1">
        <f t="shared" si="248"/>
        <v>32.338660546204302</v>
      </c>
    </row>
    <row r="426" spans="1:11" x14ac:dyDescent="0.25">
      <c r="A426" s="5"/>
      <c r="B426" s="5" t="str">
        <f t="shared" si="216"/>
        <v>SPS4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35.838173864894152</v>
      </c>
      <c r="G426" s="1">
        <f>'[1]Electricity and CHPs_IN'!C$26-G359</f>
        <v>33.784046797322141</v>
      </c>
      <c r="H426" s="1">
        <f>'[1]Electricity and CHPs_IN'!D$26-H359</f>
        <v>33.82983063251821</v>
      </c>
      <c r="I426" s="1">
        <f>'[1]Electricity and CHPs_IN'!E$26-I359</f>
        <v>33.526912702036427</v>
      </c>
      <c r="J426" s="1">
        <f>'[1]Electricity and CHPs_IN'!F$26-J359</f>
        <v>32.939686801583299</v>
      </c>
      <c r="K426" s="1">
        <f>'[1]Electricity and CHPs_IN'!G$26-K359</f>
        <v>32.338660546204302</v>
      </c>
    </row>
    <row r="427" spans="1:11" x14ac:dyDescent="0.25">
      <c r="A427" s="5"/>
      <c r="B427" s="5" t="str">
        <f t="shared" si="216"/>
        <v>SPS4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0</v>
      </c>
      <c r="K427" s="1">
        <f>'[1]Electricity and CHPs_IN'!G$27-K360</f>
        <v>0</v>
      </c>
    </row>
    <row r="428" spans="1:11" x14ac:dyDescent="0.25">
      <c r="A428" s="5"/>
      <c r="B428" s="5" t="str">
        <f t="shared" si="216"/>
        <v>SPS4</v>
      </c>
      <c r="C428" s="5" t="s">
        <v>7</v>
      </c>
      <c r="D428" t="s">
        <v>872</v>
      </c>
      <c r="E428" t="s">
        <v>8</v>
      </c>
      <c r="F428" s="1">
        <f>SUM(F429:F430)</f>
        <v>17.919086932447076</v>
      </c>
      <c r="G428" s="1">
        <f t="shared" ref="G428:K428" si="249">SUM(G429:G430)</f>
        <v>16.89202339866107</v>
      </c>
      <c r="H428" s="1">
        <f t="shared" si="249"/>
        <v>16.914915316259105</v>
      </c>
      <c r="I428" s="1">
        <f t="shared" si="249"/>
        <v>16.763456351018213</v>
      </c>
      <c r="J428" s="1">
        <f t="shared" si="249"/>
        <v>16.46984340079165</v>
      </c>
      <c r="K428" s="1">
        <f t="shared" si="249"/>
        <v>16.169330273102148</v>
      </c>
    </row>
    <row r="429" spans="1:11" x14ac:dyDescent="0.25">
      <c r="A429" s="5"/>
      <c r="B429" s="5" t="str">
        <f t="shared" si="216"/>
        <v>SPS4</v>
      </c>
      <c r="C429" s="5" t="s">
        <v>7</v>
      </c>
      <c r="D429" t="s">
        <v>195</v>
      </c>
      <c r="E429" t="s">
        <v>8</v>
      </c>
      <c r="F429" s="1">
        <f>IFERROR(F366/F359,0)*F426</f>
        <v>17.919086932447076</v>
      </c>
      <c r="G429" s="1">
        <f t="shared" ref="G429:K429" si="250">IFERROR(G366/G359,0)*G426</f>
        <v>16.89202339866107</v>
      </c>
      <c r="H429" s="1">
        <f t="shared" si="250"/>
        <v>16.914915316259105</v>
      </c>
      <c r="I429" s="1">
        <f t="shared" si="250"/>
        <v>16.763456351018213</v>
      </c>
      <c r="J429" s="1">
        <f t="shared" si="250"/>
        <v>16.46984340079165</v>
      </c>
      <c r="K429" s="1">
        <f t="shared" si="250"/>
        <v>16.169330273102148</v>
      </c>
    </row>
    <row r="430" spans="1:11" x14ac:dyDescent="0.25">
      <c r="A430" s="5"/>
      <c r="B430" s="5" t="str">
        <f t="shared" si="216"/>
        <v>SPS4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1">IFERROR(G367/G360,0)*G427</f>
        <v>0</v>
      </c>
      <c r="H430" s="1">
        <f t="shared" si="251"/>
        <v>0</v>
      </c>
      <c r="I430" s="1">
        <f t="shared" si="251"/>
        <v>0</v>
      </c>
      <c r="J430" s="1">
        <f t="shared" si="251"/>
        <v>0</v>
      </c>
      <c r="K430" s="1">
        <f t="shared" si="251"/>
        <v>0</v>
      </c>
    </row>
    <row r="431" spans="1:11" x14ac:dyDescent="0.25">
      <c r="A431" s="5"/>
      <c r="B431" s="5" t="str">
        <f t="shared" si="216"/>
        <v>SPS4</v>
      </c>
      <c r="C431" s="5" t="s">
        <v>7</v>
      </c>
      <c r="D431" t="s">
        <v>873</v>
      </c>
      <c r="E431" t="s">
        <v>8</v>
      </c>
      <c r="F431" s="1">
        <f>SUM(F432:F433)</f>
        <v>17.919086932447076</v>
      </c>
      <c r="G431" s="1">
        <f t="shared" ref="G431:K431" si="252">SUM(G432:G433)</f>
        <v>16.89202339866107</v>
      </c>
      <c r="H431" s="1">
        <f t="shared" si="252"/>
        <v>16.914915316259105</v>
      </c>
      <c r="I431" s="1">
        <f t="shared" si="252"/>
        <v>16.763456351018213</v>
      </c>
      <c r="J431" s="1">
        <f t="shared" si="252"/>
        <v>16.46984340079165</v>
      </c>
      <c r="K431" s="1">
        <f t="shared" si="252"/>
        <v>16.169330273102155</v>
      </c>
    </row>
    <row r="432" spans="1:11" x14ac:dyDescent="0.25">
      <c r="A432" s="5"/>
      <c r="B432" s="5" t="str">
        <f t="shared" si="216"/>
        <v>SPS4</v>
      </c>
      <c r="C432" s="5" t="s">
        <v>7</v>
      </c>
      <c r="D432" t="s">
        <v>197</v>
      </c>
      <c r="E432" t="s">
        <v>8</v>
      </c>
      <c r="F432" s="1">
        <f>F426-F429</f>
        <v>17.919086932447076</v>
      </c>
      <c r="G432" s="1">
        <f t="shared" ref="G432:K432" si="253">G426-G429</f>
        <v>16.89202339866107</v>
      </c>
      <c r="H432" s="1">
        <f t="shared" si="253"/>
        <v>16.914915316259105</v>
      </c>
      <c r="I432" s="1">
        <f t="shared" si="253"/>
        <v>16.763456351018213</v>
      </c>
      <c r="J432" s="1">
        <f t="shared" si="253"/>
        <v>16.46984340079165</v>
      </c>
      <c r="K432" s="1">
        <f t="shared" si="253"/>
        <v>16.169330273102155</v>
      </c>
    </row>
    <row r="433" spans="1:11" x14ac:dyDescent="0.25">
      <c r="A433" s="5"/>
      <c r="B433" s="5" t="str">
        <f t="shared" si="216"/>
        <v>SPS4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54">G427-G430</f>
        <v>0</v>
      </c>
      <c r="H433" s="1">
        <f t="shared" si="254"/>
        <v>0</v>
      </c>
      <c r="I433" s="1">
        <f t="shared" si="254"/>
        <v>0</v>
      </c>
      <c r="J433" s="1">
        <f t="shared" si="254"/>
        <v>0</v>
      </c>
      <c r="K433" s="1">
        <f t="shared" si="254"/>
        <v>0</v>
      </c>
    </row>
    <row r="434" spans="1:11" x14ac:dyDescent="0.25">
      <c r="A434" s="5"/>
      <c r="B434" s="5" t="str">
        <f t="shared" si="216"/>
        <v>SPS4</v>
      </c>
      <c r="C434" s="5" t="s">
        <v>7</v>
      </c>
      <c r="D434" t="s">
        <v>874</v>
      </c>
      <c r="E434" t="s">
        <v>8</v>
      </c>
      <c r="F434" s="1">
        <f>F435</f>
        <v>1.313117418835535</v>
      </c>
      <c r="G434" s="1">
        <f t="shared" ref="G434:K434" si="255">G435</f>
        <v>0.22872450306447073</v>
      </c>
      <c r="H434" s="1">
        <f t="shared" si="255"/>
        <v>6.1957748031835434E-3</v>
      </c>
      <c r="I434" s="1">
        <f t="shared" si="255"/>
        <v>1.8156930764092406E-2</v>
      </c>
      <c r="J434" s="1">
        <f t="shared" si="255"/>
        <v>1.0041837061528022E-2</v>
      </c>
      <c r="K434" s="1">
        <f t="shared" si="255"/>
        <v>6.718009043570004E-3</v>
      </c>
    </row>
    <row r="435" spans="1:11" x14ac:dyDescent="0.25">
      <c r="A435" s="5"/>
      <c r="B435" s="5" t="str">
        <f t="shared" si="216"/>
        <v>SPS4</v>
      </c>
      <c r="C435" s="5" t="s">
        <v>7</v>
      </c>
      <c r="D435" t="s">
        <v>199</v>
      </c>
      <c r="E435" t="s">
        <v>8</v>
      </c>
      <c r="F435" s="1">
        <f>'[1]Electricity and CHPs_IN'!B$25-F378</f>
        <v>1.313117418835535</v>
      </c>
      <c r="G435" s="1">
        <f>'[1]Electricity and CHPs_IN'!C$25-G378</f>
        <v>0.22872450306447073</v>
      </c>
      <c r="H435" s="1">
        <f>'[1]Electricity and CHPs_IN'!D$25-H378</f>
        <v>6.1957748031835434E-3</v>
      </c>
      <c r="I435" s="1">
        <f>'[1]Electricity and CHPs_IN'!E$25-I378</f>
        <v>1.8156930764092406E-2</v>
      </c>
      <c r="J435" s="1">
        <f>'[1]Electricity and CHPs_IN'!F$25-J378</f>
        <v>1.0041837061528022E-2</v>
      </c>
      <c r="K435" s="1">
        <f>'[1]Electricity and CHPs_IN'!G$25-K378</f>
        <v>6.718009043570004E-3</v>
      </c>
    </row>
    <row r="436" spans="1:11" x14ac:dyDescent="0.25">
      <c r="A436" s="5"/>
      <c r="B436" s="5" t="str">
        <f t="shared" ref="B436:B499" si="256">B435</f>
        <v>SPS4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57">+G437</f>
        <v>0</v>
      </c>
      <c r="H436" s="1">
        <f t="shared" si="257"/>
        <v>0</v>
      </c>
      <c r="I436" s="1">
        <f t="shared" si="257"/>
        <v>0</v>
      </c>
      <c r="J436" s="1">
        <f t="shared" si="257"/>
        <v>1.8197638128231018E-2</v>
      </c>
      <c r="K436" s="1">
        <f t="shared" si="257"/>
        <v>9.9701670887981098E-2</v>
      </c>
    </row>
    <row r="437" spans="1:11" x14ac:dyDescent="0.25">
      <c r="A437" s="5"/>
      <c r="B437" s="5" t="str">
        <f t="shared" si="256"/>
        <v>SPS4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1.8197638128231018E-2</v>
      </c>
      <c r="K437" s="1">
        <f>'[1]Electricity and CHPs_IN'!G$30-K396</f>
        <v>9.9701670887981098E-2</v>
      </c>
    </row>
    <row r="438" spans="1:11" x14ac:dyDescent="0.25">
      <c r="A438" s="5"/>
      <c r="B438" s="5" t="str">
        <f t="shared" si="256"/>
        <v>SPS4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8.2586864469025354</v>
      </c>
      <c r="G438" s="1">
        <f t="shared" ref="G438:K438" si="258">SUM(G439,G445,G447,G453,G455,G457,G459)</f>
        <v>10.902186370054142</v>
      </c>
      <c r="H438" s="1">
        <f t="shared" si="258"/>
        <v>7.236016708531654</v>
      </c>
      <c r="I438" s="1">
        <f t="shared" si="258"/>
        <v>6.6455530508926763</v>
      </c>
      <c r="J438" s="1">
        <f t="shared" si="258"/>
        <v>5.6082243327829113</v>
      </c>
      <c r="K438" s="1">
        <f t="shared" si="258"/>
        <v>6.2179027665626485</v>
      </c>
    </row>
    <row r="439" spans="1:11" x14ac:dyDescent="0.25">
      <c r="A439" s="5"/>
      <c r="B439" s="5" t="str">
        <f t="shared" si="256"/>
        <v>SPS4</v>
      </c>
      <c r="C439" s="5" t="s">
        <v>7</v>
      </c>
      <c r="D439" t="s">
        <v>877</v>
      </c>
      <c r="E439" t="str">
        <f>E396</f>
        <v>PJ/yr.</v>
      </c>
      <c r="F439" s="1">
        <f>+F440</f>
        <v>4.3959759853693861</v>
      </c>
      <c r="G439" s="1">
        <f t="shared" ref="G439:K439" si="259">+G440</f>
        <v>1.4883458424988445</v>
      </c>
      <c r="H439" s="1">
        <f t="shared" si="259"/>
        <v>1.0494869299481659E-2</v>
      </c>
      <c r="I439" s="1">
        <f t="shared" si="259"/>
        <v>0.6734585291039028</v>
      </c>
      <c r="J439" s="1">
        <f t="shared" si="259"/>
        <v>9.5050942376036034E-4</v>
      </c>
      <c r="K439" s="1">
        <f t="shared" si="259"/>
        <v>3.7792495212758789E-4</v>
      </c>
    </row>
    <row r="440" spans="1:11" x14ac:dyDescent="0.25">
      <c r="A440" s="5"/>
      <c r="B440" s="5" t="str">
        <f t="shared" si="256"/>
        <v>SPS4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4.3959759853693861</v>
      </c>
      <c r="G440" s="1">
        <f t="shared" ref="G440:K440" si="260">SUM(G442:G444)</f>
        <v>1.4883458424988445</v>
      </c>
      <c r="H440" s="1">
        <f t="shared" si="260"/>
        <v>1.0494869299481659E-2</v>
      </c>
      <c r="I440" s="1">
        <f t="shared" si="260"/>
        <v>0.6734585291039028</v>
      </c>
      <c r="J440" s="1">
        <f t="shared" si="260"/>
        <v>9.5050942376036034E-4</v>
      </c>
      <c r="K440" s="1">
        <f t="shared" si="260"/>
        <v>3.7792495212758789E-4</v>
      </c>
    </row>
    <row r="441" spans="1:11" x14ac:dyDescent="0.25">
      <c r="A441" s="5"/>
      <c r="B441" s="5" t="str">
        <f t="shared" si="256"/>
        <v>SPS4</v>
      </c>
      <c r="C441" s="5" t="s">
        <v>7</v>
      </c>
      <c r="D441" t="s">
        <v>878</v>
      </c>
      <c r="E441" t="str">
        <f>E396</f>
        <v>PJ/yr.</v>
      </c>
      <c r="F441" s="1">
        <f>F442</f>
        <v>2.0280758486723762</v>
      </c>
      <c r="G441" s="1">
        <f t="shared" ref="G441:K441" si="261">G442</f>
        <v>1.4881876136941019</v>
      </c>
      <c r="H441" s="1">
        <f t="shared" si="261"/>
        <v>9.425189519429826E-3</v>
      </c>
      <c r="I441" s="1">
        <f t="shared" si="261"/>
        <v>0.67269564140686966</v>
      </c>
      <c r="J441" s="1">
        <f t="shared" si="261"/>
        <v>4.3778507795871039E-4</v>
      </c>
      <c r="K441" s="1">
        <f t="shared" si="261"/>
        <v>7.9559962986328796E-5</v>
      </c>
    </row>
    <row r="442" spans="1:11" x14ac:dyDescent="0.25">
      <c r="A442" s="5"/>
      <c r="B442" s="5" t="str">
        <f t="shared" si="256"/>
        <v>SPS4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2.0280758486723762</v>
      </c>
      <c r="G442" s="1">
        <f>'[1]Electricity and CHPs_IN'!C$90</f>
        <v>1.4881876136941019</v>
      </c>
      <c r="H442" s="1">
        <f>'[1]Electricity and CHPs_IN'!D$90</f>
        <v>9.425189519429826E-3</v>
      </c>
      <c r="I442" s="1">
        <f>'[1]Electricity and CHPs_IN'!E$90</f>
        <v>0.67269564140686966</v>
      </c>
      <c r="J442" s="1">
        <f>'[1]Electricity and CHPs_IN'!F$90</f>
        <v>4.3778507795871039E-4</v>
      </c>
      <c r="K442" s="1">
        <f>'[1]Electricity and CHPs_IN'!G$90</f>
        <v>7.9559962986328796E-5</v>
      </c>
    </row>
    <row r="443" spans="1:11" x14ac:dyDescent="0.25">
      <c r="A443" s="5"/>
      <c r="B443" s="5" t="str">
        <f t="shared" si="256"/>
        <v>SPS4</v>
      </c>
      <c r="C443" s="5" t="s">
        <v>7</v>
      </c>
      <c r="D443" t="s">
        <v>879</v>
      </c>
      <c r="E443" t="str">
        <f>E397</f>
        <v>PJ/yr.</v>
      </c>
      <c r="F443" s="1">
        <f>F444</f>
        <v>1.1839500683485047</v>
      </c>
      <c r="G443" s="1">
        <f t="shared" ref="G443:K443" si="262">G444</f>
        <v>7.9114402371278266E-5</v>
      </c>
      <c r="H443" s="1">
        <f t="shared" si="262"/>
        <v>5.3483989002591685E-4</v>
      </c>
      <c r="I443" s="1">
        <f t="shared" si="262"/>
        <v>3.8144384851658634E-4</v>
      </c>
      <c r="J443" s="1">
        <f t="shared" si="262"/>
        <v>2.5636217290082495E-4</v>
      </c>
      <c r="K443" s="1">
        <f t="shared" si="262"/>
        <v>1.4918249457062955E-4</v>
      </c>
    </row>
    <row r="444" spans="1:11" x14ac:dyDescent="0.25">
      <c r="A444" s="5"/>
      <c r="B444" s="5" t="str">
        <f t="shared" si="256"/>
        <v>SPS4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1.1839500683485047</v>
      </c>
      <c r="G444" s="1">
        <f>'[1]Electricity and CHPs_IN'!C$91</f>
        <v>7.9114402371278266E-5</v>
      </c>
      <c r="H444" s="1">
        <f>'[1]Electricity and CHPs_IN'!D$91</f>
        <v>5.3483989002591685E-4</v>
      </c>
      <c r="I444" s="1">
        <f>'[1]Electricity and CHPs_IN'!E$91</f>
        <v>3.8144384851658634E-4</v>
      </c>
      <c r="J444" s="1">
        <f>'[1]Electricity and CHPs_IN'!F$91</f>
        <v>2.5636217290082495E-4</v>
      </c>
      <c r="K444" s="1">
        <f>'[1]Electricity and CHPs_IN'!G$91</f>
        <v>1.4918249457062955E-4</v>
      </c>
    </row>
    <row r="445" spans="1:11" x14ac:dyDescent="0.25">
      <c r="A445" s="5"/>
      <c r="B445" s="5" t="str">
        <f t="shared" si="256"/>
        <v>SPS4</v>
      </c>
      <c r="C445" s="5" t="s">
        <v>7</v>
      </c>
      <c r="D445" t="s">
        <v>880</v>
      </c>
      <c r="E445" t="str">
        <f>E398</f>
        <v>PJ/yr.</v>
      </c>
      <c r="F445" s="1">
        <f>F446</f>
        <v>1.4500030857835837</v>
      </c>
      <c r="G445" s="1">
        <f t="shared" ref="G445:K445" si="263">G446</f>
        <v>3.8017358422193577</v>
      </c>
      <c r="H445" s="1">
        <f t="shared" si="263"/>
        <v>3.8007227666134371</v>
      </c>
      <c r="I445" s="1">
        <f t="shared" si="263"/>
        <v>1.0482700908780695</v>
      </c>
      <c r="J445" s="1">
        <f t="shared" si="263"/>
        <v>0</v>
      </c>
      <c r="K445" s="1">
        <f t="shared" si="263"/>
        <v>0</v>
      </c>
    </row>
    <row r="446" spans="1:11" x14ac:dyDescent="0.25">
      <c r="A446" s="5"/>
      <c r="B446" s="5" t="str">
        <f t="shared" si="256"/>
        <v>SPS4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1.4500030857835837</v>
      </c>
      <c r="G446" s="1">
        <f>'[1]Electricity and CHPs_IN'!C$92</f>
        <v>3.8017358422193577</v>
      </c>
      <c r="H446" s="1">
        <f>'[1]Electricity and CHPs_IN'!D$92</f>
        <v>3.8007227666134371</v>
      </c>
      <c r="I446" s="1">
        <f>'[1]Electricity and CHPs_IN'!E$92</f>
        <v>1.0482700908780695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tr">
        <f t="shared" si="256"/>
        <v>SPS4</v>
      </c>
      <c r="C447" s="5" t="s">
        <v>7</v>
      </c>
      <c r="D447" t="s">
        <v>881</v>
      </c>
      <c r="E447" t="str">
        <f>E399</f>
        <v>PJ/yr.</v>
      </c>
      <c r="F447" s="1">
        <f>F448</f>
        <v>0.21542222576581893</v>
      </c>
      <c r="G447" s="1">
        <f t="shared" ref="G447:K447" si="264">G448</f>
        <v>2.359821413180001</v>
      </c>
      <c r="H447" s="1">
        <f t="shared" si="264"/>
        <v>5.6724193485791548E-4</v>
      </c>
      <c r="I447" s="1">
        <f t="shared" si="264"/>
        <v>2.3503853373101739E-4</v>
      </c>
      <c r="J447" s="1">
        <f t="shared" si="264"/>
        <v>1.2649664150581215E-4</v>
      </c>
      <c r="K447" s="1">
        <f t="shared" si="264"/>
        <v>3.8167804832420892E-5</v>
      </c>
    </row>
    <row r="448" spans="1:11" x14ac:dyDescent="0.25">
      <c r="A448" s="5"/>
      <c r="B448" s="5" t="str">
        <f t="shared" si="256"/>
        <v>SPS4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0.21542222576581893</v>
      </c>
      <c r="G448" s="1">
        <f>'[1]Electricity and CHPs_IN'!C$93</f>
        <v>2.359821413180001</v>
      </c>
      <c r="H448" s="1">
        <f>'[1]Electricity and CHPs_IN'!D$93</f>
        <v>5.6724193485791548E-4</v>
      </c>
      <c r="I448" s="1">
        <f>'[1]Electricity and CHPs_IN'!E$93</f>
        <v>2.3503853373101739E-4</v>
      </c>
      <c r="J448" s="1">
        <f>'[1]Electricity and CHPs_IN'!F$93</f>
        <v>1.2649664150581215E-4</v>
      </c>
      <c r="K448" s="1">
        <f>'[1]Electricity and CHPs_IN'!G$93</f>
        <v>3.8167804832420892E-5</v>
      </c>
    </row>
    <row r="449" spans="1:11" x14ac:dyDescent="0.25">
      <c r="A449" s="5"/>
      <c r="B449" s="5" t="str">
        <f t="shared" si="256"/>
        <v>SPS4</v>
      </c>
      <c r="C449" s="5" t="s">
        <v>7</v>
      </c>
      <c r="D449" t="s">
        <v>883</v>
      </c>
      <c r="E449" t="str">
        <f>E399</f>
        <v>PJ/yr.</v>
      </c>
      <c r="F449" s="1">
        <f>F450</f>
        <v>0.21542222576581893</v>
      </c>
      <c r="G449" s="1">
        <f t="shared" ref="G449:K449" si="265">G450</f>
        <v>2.359821413180001</v>
      </c>
      <c r="H449" s="1">
        <f t="shared" si="265"/>
        <v>5.6724193485791548E-4</v>
      </c>
      <c r="I449" s="1">
        <f t="shared" si="265"/>
        <v>2.3503853373101739E-4</v>
      </c>
      <c r="J449" s="1">
        <f t="shared" si="265"/>
        <v>1.2649664150581215E-4</v>
      </c>
      <c r="K449" s="1">
        <f t="shared" si="265"/>
        <v>3.8167804832420892E-5</v>
      </c>
    </row>
    <row r="450" spans="1:11" x14ac:dyDescent="0.25">
      <c r="A450" s="5"/>
      <c r="B450" s="5" t="str">
        <f t="shared" si="256"/>
        <v>SPS4</v>
      </c>
      <c r="C450" s="5" t="s">
        <v>7</v>
      </c>
      <c r="D450" t="s">
        <v>882</v>
      </c>
      <c r="E450" t="str">
        <f>E400</f>
        <v>PJ/yr.</v>
      </c>
      <c r="F450" s="1">
        <f>F448</f>
        <v>0.21542222576581893</v>
      </c>
      <c r="G450" s="1">
        <f t="shared" ref="G450:K450" si="266">G448</f>
        <v>2.359821413180001</v>
      </c>
      <c r="H450" s="1">
        <f t="shared" si="266"/>
        <v>5.6724193485791548E-4</v>
      </c>
      <c r="I450" s="1">
        <f t="shared" si="266"/>
        <v>2.3503853373101739E-4</v>
      </c>
      <c r="J450" s="1">
        <f t="shared" si="266"/>
        <v>1.2649664150581215E-4</v>
      </c>
      <c r="K450" s="1">
        <f t="shared" si="266"/>
        <v>3.8167804832420892E-5</v>
      </c>
    </row>
    <row r="451" spans="1:11" x14ac:dyDescent="0.25">
      <c r="A451" s="5"/>
      <c r="B451" s="5" t="str">
        <f t="shared" si="256"/>
        <v>SPS4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67">G452</f>
        <v>0</v>
      </c>
      <c r="H451" s="1">
        <f t="shared" si="267"/>
        <v>0</v>
      </c>
      <c r="I451" s="1">
        <f t="shared" si="267"/>
        <v>0</v>
      </c>
      <c r="J451" s="1">
        <f t="shared" si="267"/>
        <v>0</v>
      </c>
      <c r="K451" s="1">
        <f t="shared" si="267"/>
        <v>0</v>
      </c>
    </row>
    <row r="452" spans="1:11" x14ac:dyDescent="0.25">
      <c r="A452" s="5"/>
      <c r="B452" s="5" t="str">
        <f t="shared" si="256"/>
        <v>SPS4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tr">
        <f t="shared" si="256"/>
        <v>SPS4</v>
      </c>
      <c r="C453" s="5" t="s">
        <v>7</v>
      </c>
      <c r="D453" t="s">
        <v>886</v>
      </c>
      <c r="E453" t="str">
        <f>E400</f>
        <v>PJ/yr.</v>
      </c>
      <c r="F453" s="1">
        <f>F454</f>
        <v>2.1972851499837467</v>
      </c>
      <c r="G453" s="1">
        <f t="shared" ref="G453:K453" si="268">G454</f>
        <v>1.9830490302675643</v>
      </c>
      <c r="H453" s="1">
        <f t="shared" si="268"/>
        <v>1.7002174502679912</v>
      </c>
      <c r="I453" s="1">
        <f t="shared" si="268"/>
        <v>1.3155964536906561</v>
      </c>
      <c r="J453" s="1">
        <f t="shared" si="268"/>
        <v>0.78769930012392286</v>
      </c>
      <c r="K453" s="1">
        <f t="shared" si="268"/>
        <v>0.47162628712722943</v>
      </c>
    </row>
    <row r="454" spans="1:11" x14ac:dyDescent="0.25">
      <c r="A454" s="5"/>
      <c r="B454" s="5" t="str">
        <f t="shared" si="256"/>
        <v>SPS4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2.1972851499837467</v>
      </c>
      <c r="G454" s="1">
        <f>'[1]Electricity and CHPs_IN'!C$94</f>
        <v>1.9830490302675643</v>
      </c>
      <c r="H454" s="1">
        <f>'[1]Electricity and CHPs_IN'!D$94</f>
        <v>1.7002174502679912</v>
      </c>
      <c r="I454" s="1">
        <f>'[1]Electricity and CHPs_IN'!E$94</f>
        <v>1.3155964536906561</v>
      </c>
      <c r="J454" s="1">
        <f>'[1]Electricity and CHPs_IN'!F$94</f>
        <v>0.78769930012392286</v>
      </c>
      <c r="K454" s="1">
        <f>'[1]Electricity and CHPs_IN'!G$94</f>
        <v>0.47162628712722943</v>
      </c>
    </row>
    <row r="455" spans="1:11" x14ac:dyDescent="0.25">
      <c r="A455" s="5"/>
      <c r="B455" s="5" t="str">
        <f t="shared" si="256"/>
        <v>SPS4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69">G456</f>
        <v>0</v>
      </c>
      <c r="H455" s="1">
        <f t="shared" si="269"/>
        <v>0</v>
      </c>
      <c r="I455" s="1">
        <f t="shared" si="269"/>
        <v>1.774501054923592E-5</v>
      </c>
      <c r="J455" s="1">
        <f t="shared" si="269"/>
        <v>2.0816057202165292E-5</v>
      </c>
      <c r="K455" s="1">
        <f t="shared" si="269"/>
        <v>2.1028340592726036E-5</v>
      </c>
    </row>
    <row r="456" spans="1:11" x14ac:dyDescent="0.25">
      <c r="A456" s="5"/>
      <c r="B456" s="5" t="str">
        <f t="shared" si="256"/>
        <v>SPS4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1.774501054923592E-5</v>
      </c>
      <c r="J456" s="1">
        <f>'[1]Electricity and CHPs_IN'!F$95</f>
        <v>2.0816057202165292E-5</v>
      </c>
      <c r="K456" s="1">
        <f>'[1]Electricity and CHPs_IN'!G$95</f>
        <v>2.1028340592726036E-5</v>
      </c>
    </row>
    <row r="457" spans="1:11" x14ac:dyDescent="0.25">
      <c r="A457" s="5"/>
      <c r="B457" s="5" t="str">
        <f t="shared" si="256"/>
        <v>SPS4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0">G458</f>
        <v>0</v>
      </c>
      <c r="H457" s="1">
        <f t="shared" si="270"/>
        <v>0</v>
      </c>
      <c r="I457" s="1">
        <f t="shared" si="270"/>
        <v>0</v>
      </c>
      <c r="J457" s="1">
        <f t="shared" si="270"/>
        <v>4.3643794656997623E-5</v>
      </c>
      <c r="K457" s="1">
        <f t="shared" si="270"/>
        <v>3.5323855011943245E-5</v>
      </c>
    </row>
    <row r="458" spans="1:11" x14ac:dyDescent="0.25">
      <c r="A458" s="5"/>
      <c r="B458" s="5" t="str">
        <f t="shared" si="256"/>
        <v>SPS4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4.3643794656997623E-5</v>
      </c>
      <c r="K458" s="1">
        <f>'[1]Electricity and CHPs_IN'!G$96</f>
        <v>3.5323855011943245E-5</v>
      </c>
    </row>
    <row r="459" spans="1:11" x14ac:dyDescent="0.25">
      <c r="A459" s="5"/>
      <c r="B459" s="5" t="str">
        <f t="shared" si="256"/>
        <v>SPS4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1">G460</f>
        <v>1.269234241888376</v>
      </c>
      <c r="H459" s="1">
        <f>H460</f>
        <v>1.7240143804158863</v>
      </c>
      <c r="I459" s="1">
        <f t="shared" ref="I459" si="272">I460</f>
        <v>3.6079751936757676</v>
      </c>
      <c r="J459" s="1">
        <f t="shared" ref="J459" si="273">J460</f>
        <v>4.8193835667418634</v>
      </c>
      <c r="K459" s="1">
        <f t="shared" ref="K459" si="274">K460</f>
        <v>5.7458040344828545</v>
      </c>
    </row>
    <row r="460" spans="1:11" x14ac:dyDescent="0.25">
      <c r="A460" s="5"/>
      <c r="B460" s="5" t="str">
        <f t="shared" si="256"/>
        <v>SPS4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1.269234241888376</v>
      </c>
      <c r="H460" s="1">
        <f>'[1]Electricity and CHPs_IN'!D$97</f>
        <v>1.7240143804158863</v>
      </c>
      <c r="I460" s="1">
        <f>'[1]Electricity and CHPs_IN'!E$97</f>
        <v>3.6079751936757676</v>
      </c>
      <c r="J460" s="1">
        <f>'[1]Electricity and CHPs_IN'!F$97</f>
        <v>4.8193835667418634</v>
      </c>
      <c r="K460" s="1">
        <f>'[1]Electricity and CHPs_IN'!G$97</f>
        <v>5.7458040344828545</v>
      </c>
    </row>
    <row r="461" spans="1:11" x14ac:dyDescent="0.25">
      <c r="A461" s="5"/>
      <c r="B461" s="5" t="str">
        <f t="shared" si="256"/>
        <v>SPS4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7.8940969284307867</v>
      </c>
      <c r="G461" s="1">
        <f t="shared" ref="G461:K461" si="275">SUM(G462,G468,G501,G510,G516)</f>
        <v>8.6254905777643227</v>
      </c>
      <c r="H461" s="1">
        <f t="shared" si="275"/>
        <v>10.268750172085525</v>
      </c>
      <c r="I461" s="1">
        <f t="shared" si="275"/>
        <v>11.193721970265177</v>
      </c>
      <c r="J461" s="1">
        <f t="shared" si="275"/>
        <v>25.648914421786483</v>
      </c>
      <c r="K461" s="1">
        <f t="shared" si="275"/>
        <v>26.333703615335601</v>
      </c>
    </row>
    <row r="462" spans="1:11" x14ac:dyDescent="0.25">
      <c r="A462" s="5"/>
      <c r="B462" s="5" t="str">
        <f t="shared" si="256"/>
        <v>SPS4</v>
      </c>
      <c r="C462" s="5" t="s">
        <v>7</v>
      </c>
      <c r="D462" t="s">
        <v>892</v>
      </c>
      <c r="E462" t="str">
        <f>E397</f>
        <v>PJ/yr.</v>
      </c>
      <c r="F462" s="1">
        <f>+F463</f>
        <v>0.2719991896477244</v>
      </c>
      <c r="G462" s="1">
        <f t="shared" ref="G462:K462" si="276">+G463</f>
        <v>0.64171158842825737</v>
      </c>
      <c r="H462" s="1">
        <f t="shared" si="276"/>
        <v>0.22351179723601522</v>
      </c>
      <c r="I462" s="1">
        <f t="shared" si="276"/>
        <v>0.57482155394384227</v>
      </c>
      <c r="J462" s="1">
        <f t="shared" si="276"/>
        <v>6.7324920363393492E-2</v>
      </c>
      <c r="K462" s="1">
        <f t="shared" si="276"/>
        <v>9.5893934578752504E-2</v>
      </c>
    </row>
    <row r="463" spans="1:11" x14ac:dyDescent="0.25">
      <c r="A463" s="5"/>
      <c r="B463" s="5" t="str">
        <f t="shared" si="256"/>
        <v>SPS4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0.2719991896477244</v>
      </c>
      <c r="G463" s="1">
        <f>'[1]Electricity and CHPs_IN'!C$41-G299</f>
        <v>0.64171158842825737</v>
      </c>
      <c r="H463" s="1">
        <f>'[1]Electricity and CHPs_IN'!D$41-H299</f>
        <v>0.22351179723601522</v>
      </c>
      <c r="I463" s="1">
        <f>'[1]Electricity and CHPs_IN'!E$41-I299</f>
        <v>0.57482155394384227</v>
      </c>
      <c r="J463" s="1">
        <f>'[1]Electricity and CHPs_IN'!F$41-J299</f>
        <v>6.7324920363393492E-2</v>
      </c>
      <c r="K463" s="1">
        <f>'[1]Electricity and CHPs_IN'!G$41-K299</f>
        <v>9.5893934578752504E-2</v>
      </c>
    </row>
    <row r="464" spans="1:11" x14ac:dyDescent="0.25">
      <c r="A464" s="5"/>
      <c r="B464" s="5" t="str">
        <f t="shared" si="256"/>
        <v>SPS4</v>
      </c>
      <c r="C464" s="5" t="s">
        <v>7</v>
      </c>
      <c r="D464" t="s">
        <v>894</v>
      </c>
      <c r="E464" t="str">
        <f>E397</f>
        <v>PJ/yr.</v>
      </c>
      <c r="F464" s="1">
        <f>F465</f>
        <v>0.2719991896477244</v>
      </c>
      <c r="G464" s="1">
        <f t="shared" ref="G464:K464" si="277">G465</f>
        <v>0.64171158842825737</v>
      </c>
      <c r="H464" s="1">
        <f t="shared" si="277"/>
        <v>0.22351179723601522</v>
      </c>
      <c r="I464" s="1">
        <f t="shared" si="277"/>
        <v>0.57482155394384227</v>
      </c>
      <c r="J464" s="1">
        <f t="shared" si="277"/>
        <v>6.7324920363393492E-2</v>
      </c>
      <c r="K464" s="1">
        <f t="shared" si="277"/>
        <v>9.5893934578752504E-2</v>
      </c>
    </row>
    <row r="465" spans="1:11" x14ac:dyDescent="0.25">
      <c r="A465" s="5"/>
      <c r="B465" s="5" t="str">
        <f t="shared" si="256"/>
        <v>SPS4</v>
      </c>
      <c r="C465" s="5" t="s">
        <v>7</v>
      </c>
      <c r="D465" t="s">
        <v>524</v>
      </c>
      <c r="E465" t="str">
        <f>E398</f>
        <v>PJ/yr.</v>
      </c>
      <c r="F465" s="1">
        <f>F463-F467</f>
        <v>0.2719991896477244</v>
      </c>
      <c r="G465" s="1">
        <f t="shared" ref="G465:K465" si="278">G463-G467</f>
        <v>0.64171158842825737</v>
      </c>
      <c r="H465" s="1">
        <f t="shared" si="278"/>
        <v>0.22351179723601522</v>
      </c>
      <c r="I465" s="1">
        <f t="shared" si="278"/>
        <v>0.57482155394384227</v>
      </c>
      <c r="J465" s="1">
        <f t="shared" si="278"/>
        <v>6.7324920363393492E-2</v>
      </c>
      <c r="K465" s="1">
        <f t="shared" si="278"/>
        <v>9.5893934578752504E-2</v>
      </c>
    </row>
    <row r="466" spans="1:11" x14ac:dyDescent="0.25">
      <c r="A466" s="5"/>
      <c r="B466" s="5" t="str">
        <f t="shared" si="256"/>
        <v>SPS4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79">G467</f>
        <v>0</v>
      </c>
      <c r="H466" s="1">
        <f t="shared" si="279"/>
        <v>0</v>
      </c>
      <c r="I466" s="1">
        <f t="shared" si="279"/>
        <v>0</v>
      </c>
      <c r="J466" s="1">
        <f t="shared" si="279"/>
        <v>0</v>
      </c>
      <c r="K466" s="1">
        <f t="shared" si="279"/>
        <v>0</v>
      </c>
    </row>
    <row r="467" spans="1:11" x14ac:dyDescent="0.25">
      <c r="A467" s="5"/>
      <c r="B467" s="5" t="str">
        <f t="shared" si="256"/>
        <v>SPS4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0">IFERROR(G307/G299,0)*G463</f>
        <v>0</v>
      </c>
      <c r="H467" s="1">
        <f t="shared" si="280"/>
        <v>0</v>
      </c>
      <c r="I467" s="1">
        <f t="shared" si="280"/>
        <v>0</v>
      </c>
      <c r="J467" s="1">
        <f t="shared" si="280"/>
        <v>0</v>
      </c>
      <c r="K467" s="1">
        <f t="shared" si="280"/>
        <v>0</v>
      </c>
    </row>
    <row r="468" spans="1:11" x14ac:dyDescent="0.25">
      <c r="A468" s="5"/>
      <c r="B468" s="5" t="str">
        <f t="shared" si="256"/>
        <v>SPS4</v>
      </c>
      <c r="C468" s="5" t="s">
        <v>7</v>
      </c>
      <c r="D468" t="s">
        <v>893</v>
      </c>
      <c r="E468" t="str">
        <f>E399</f>
        <v>PJ/yr.</v>
      </c>
      <c r="F468" s="1">
        <f>SUM(F469:F478)</f>
        <v>3.6127725018031027</v>
      </c>
      <c r="G468" s="1">
        <f t="shared" ref="G468:K468" si="281">SUM(G469:G478)</f>
        <v>2.887505618823297</v>
      </c>
      <c r="H468" s="1">
        <f t="shared" si="281"/>
        <v>1.8626042662192985</v>
      </c>
      <c r="I468" s="1">
        <f t="shared" si="281"/>
        <v>2.6448961833137492</v>
      </c>
      <c r="J468" s="1">
        <f t="shared" si="281"/>
        <v>12.425233026214537</v>
      </c>
      <c r="K468" s="1">
        <f t="shared" si="281"/>
        <v>11.301473636711371</v>
      </c>
    </row>
    <row r="469" spans="1:11" x14ac:dyDescent="0.25">
      <c r="A469" s="5"/>
      <c r="B469" s="5" t="str">
        <f t="shared" si="256"/>
        <v>SPS4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1.0239919990850763</v>
      </c>
      <c r="G469" s="1">
        <f>'[1]Electricity and CHPs_IN'!C$39-G314</f>
        <v>0.13834926901318095</v>
      </c>
      <c r="H469" s="1">
        <f>'[1]Electricity and CHPs_IN'!D$39-H314</f>
        <v>8.7479827268579155E-2</v>
      </c>
      <c r="I469" s="1">
        <f>'[1]Electricity and CHPs_IN'!E$39-I314</f>
        <v>0.45788645415341112</v>
      </c>
      <c r="J469" s="1">
        <f>'[1]Electricity and CHPs_IN'!F$39-J314</f>
        <v>7.7067102383299058E-2</v>
      </c>
      <c r="K469" s="1">
        <f>'[1]Electricity and CHPs_IN'!G$39-K314</f>
        <v>2.1076049229614671E-2</v>
      </c>
    </row>
    <row r="470" spans="1:11" x14ac:dyDescent="0.25">
      <c r="A470" s="5"/>
      <c r="B470" s="5" t="str">
        <f t="shared" si="256"/>
        <v>SPS4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7.7096952373096071E-5</v>
      </c>
      <c r="K470" s="6">
        <f>'[1]Electricity and CHPs_IN'!G$40-K315</f>
        <v>4.4412265974316994E-5</v>
      </c>
    </row>
    <row r="471" spans="1:11" x14ac:dyDescent="0.25">
      <c r="A471" s="5"/>
      <c r="B471" s="5" t="str">
        <f t="shared" si="256"/>
        <v>SPS4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tr">
        <f t="shared" si="256"/>
        <v>SPS4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4.0342939923963442E-2</v>
      </c>
      <c r="G472" s="1">
        <f>'[1]Electricity and CHPs_IN'!C$48-G317</f>
        <v>5.8713855221298843E-3</v>
      </c>
      <c r="H472" s="1">
        <f>'[1]Electricity and CHPs_IN'!D$48-H317</f>
        <v>8.5457835937145874E-3</v>
      </c>
      <c r="I472" s="1">
        <f>'[1]Electricity and CHPs_IN'!E$48-I317</f>
        <v>1.7924669000071482E-2</v>
      </c>
      <c r="J472" s="1">
        <f>'[1]Electricity and CHPs_IN'!F$48-J317</f>
        <v>1.0869247046186905E-2</v>
      </c>
      <c r="K472" s="1">
        <f>'[1]Electricity and CHPs_IN'!G$48-K317</f>
        <v>4.7077161959332989E-3</v>
      </c>
    </row>
    <row r="473" spans="1:11" x14ac:dyDescent="0.25">
      <c r="A473" s="5"/>
      <c r="B473" s="5" t="str">
        <f t="shared" si="256"/>
        <v>SPS4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tr">
        <f t="shared" si="256"/>
        <v>SPS4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7.6231958720425597E-2</v>
      </c>
      <c r="G474" s="1">
        <f>'[1]Electricity and CHPs_IN'!C$51-G319</f>
        <v>4.3710102633489787E-3</v>
      </c>
      <c r="H474" s="1">
        <f>'[1]Electricity and CHPs_IN'!D$51-H319</f>
        <v>6.7132657109644318E-3</v>
      </c>
      <c r="I474" s="1">
        <f>'[1]Electricity and CHPs_IN'!E$51-I319</f>
        <v>0.4993188761995126</v>
      </c>
      <c r="J474" s="1">
        <f>'[1]Electricity and CHPs_IN'!F$51-J319</f>
        <v>10.886655486163601</v>
      </c>
      <c r="K474" s="1">
        <f>'[1]Electricity and CHPs_IN'!G$51-K319</f>
        <v>9.9047153465423854</v>
      </c>
    </row>
    <row r="475" spans="1:11" x14ac:dyDescent="0.25">
      <c r="A475" s="5"/>
      <c r="B475" s="5" t="str">
        <f t="shared" si="256"/>
        <v>SPS4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tr">
        <f t="shared" si="256"/>
        <v>SPS4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1.5806824164538755</v>
      </c>
      <c r="G476" s="1">
        <f>'[1]Electricity and CHPs_IN'!C$54-G321</f>
        <v>1.7910827437414518</v>
      </c>
      <c r="H476" s="1">
        <f>'[1]Electricity and CHPs_IN'!D$54-H321</f>
        <v>1.7425620442254475</v>
      </c>
      <c r="I476" s="1">
        <f>'[1]Electricity and CHPs_IN'!E$54-I321</f>
        <v>1.6521569152566977</v>
      </c>
      <c r="J476" s="1">
        <f>'[1]Electricity and CHPs_IN'!F$54-J321</f>
        <v>1.4049339572041788</v>
      </c>
      <c r="K476" s="1">
        <f>'[1]Electricity and CHPs_IN'!G$54-K321</f>
        <v>1.36766247818908</v>
      </c>
    </row>
    <row r="477" spans="1:11" x14ac:dyDescent="0.25">
      <c r="A477" s="5"/>
      <c r="B477" s="5" t="str">
        <f t="shared" si="256"/>
        <v>SPS4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0.89152318761976179</v>
      </c>
      <c r="G477" s="1">
        <f>'[1]Electricity and CHPs_IN'!C$55-G322</f>
        <v>0.9478312102831854</v>
      </c>
      <c r="H477" s="1">
        <f>'[1]Electricity and CHPs_IN'!D$55-H322</f>
        <v>1.7303345420592961E-2</v>
      </c>
      <c r="I477" s="1">
        <f>'[1]Electricity and CHPs_IN'!E$55-I322</f>
        <v>1.7543120585126526E-2</v>
      </c>
      <c r="J477" s="1">
        <f>'[1]Electricity and CHPs_IN'!F$55-J322</f>
        <v>4.3109879787403042E-2</v>
      </c>
      <c r="K477" s="1">
        <f>'[1]Electricity and CHPs_IN'!G$55-K322</f>
        <v>8.4278192721241646E-4</v>
      </c>
    </row>
    <row r="478" spans="1:11" x14ac:dyDescent="0.25">
      <c r="A478" s="5"/>
      <c r="B478" s="5" t="str">
        <f t="shared" si="256"/>
        <v>SPS4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6.6148118929691457E-5</v>
      </c>
      <c r="J478" s="1">
        <f>'[1]Electricity and CHPs_IN'!F$58-J323</f>
        <v>2.5202566774943733E-3</v>
      </c>
      <c r="K478" s="1">
        <f>'[1]Electricity and CHPs_IN'!G$58-K323</f>
        <v>2.4248523611695647E-3</v>
      </c>
    </row>
    <row r="479" spans="1:11" x14ac:dyDescent="0.25">
      <c r="A479" s="5"/>
      <c r="B479" s="5" t="str">
        <f t="shared" si="256"/>
        <v>SPS4</v>
      </c>
      <c r="C479" s="5" t="s">
        <v>7</v>
      </c>
      <c r="D479" t="s">
        <v>896</v>
      </c>
      <c r="E479" t="str">
        <f>E400</f>
        <v>PJ/yr.</v>
      </c>
      <c r="F479" s="1">
        <f>SUM(F480:F489)</f>
        <v>1.9797157556648561</v>
      </c>
      <c r="G479" s="1">
        <f t="shared" ref="G479:K479" si="282">SUM(G480:G489)</f>
        <v>1.0628409733308379</v>
      </c>
      <c r="H479" s="1">
        <f t="shared" si="282"/>
        <v>0.11608948143029407</v>
      </c>
      <c r="I479" s="1">
        <f t="shared" si="282"/>
        <v>0.96322154036132879</v>
      </c>
      <c r="J479" s="1">
        <f t="shared" si="282"/>
        <v>10.98185495088228</v>
      </c>
      <c r="K479" s="1">
        <f t="shared" si="282"/>
        <v>9.887569972976392</v>
      </c>
    </row>
    <row r="480" spans="1:11" x14ac:dyDescent="0.25">
      <c r="A480" s="5"/>
      <c r="B480" s="5" t="str">
        <f t="shared" si="256"/>
        <v>SPS4</v>
      </c>
      <c r="C480" s="5" t="s">
        <v>7</v>
      </c>
      <c r="D480" t="s">
        <v>597</v>
      </c>
      <c r="E480" t="str">
        <f>E400</f>
        <v>PJ/yr.</v>
      </c>
      <c r="F480" s="1">
        <f t="shared" ref="F480:F486" si="283">F469-F491</f>
        <v>0.99760001236120865</v>
      </c>
      <c r="G480" s="1">
        <f t="shared" ref="G480:K480" si="284">G469-G491</f>
        <v>0.13411182407755107</v>
      </c>
      <c r="H480" s="1">
        <f t="shared" si="284"/>
        <v>8.4599298601297487E-2</v>
      </c>
      <c r="I480" s="1">
        <f t="shared" si="284"/>
        <v>0.44427183437946699</v>
      </c>
      <c r="J480" s="1">
        <f t="shared" si="284"/>
        <v>7.6798253280683473E-2</v>
      </c>
      <c r="K480" s="1">
        <f t="shared" si="284"/>
        <v>2.0977941278432062E-2</v>
      </c>
    </row>
    <row r="481" spans="1:18" x14ac:dyDescent="0.25">
      <c r="A481" s="5"/>
      <c r="B481" s="5" t="str">
        <f t="shared" si="256"/>
        <v>SPS4</v>
      </c>
      <c r="C481" s="5" t="s">
        <v>7</v>
      </c>
      <c r="D481" t="s">
        <v>598</v>
      </c>
      <c r="E481" t="str">
        <f>E401</f>
        <v>PJ/yr.</v>
      </c>
      <c r="F481" s="1">
        <f t="shared" si="283"/>
        <v>0</v>
      </c>
      <c r="G481" s="1">
        <f t="shared" ref="G481:K481" si="285">G470-G492</f>
        <v>0</v>
      </c>
      <c r="H481" s="1">
        <f t="shared" si="285"/>
        <v>0</v>
      </c>
      <c r="I481" s="1">
        <f t="shared" si="285"/>
        <v>0</v>
      </c>
      <c r="J481" s="1">
        <f t="shared" si="285"/>
        <v>7.7096952373096071E-5</v>
      </c>
      <c r="K481" s="1">
        <f t="shared" si="285"/>
        <v>4.4412265974316994E-5</v>
      </c>
    </row>
    <row r="482" spans="1:18" x14ac:dyDescent="0.25">
      <c r="A482" s="5"/>
      <c r="B482" s="5" t="str">
        <f t="shared" si="256"/>
        <v>SPS4</v>
      </c>
      <c r="C482" s="5" t="s">
        <v>7</v>
      </c>
      <c r="D482" t="s">
        <v>599</v>
      </c>
      <c r="E482" t="str">
        <f>E402</f>
        <v>PJ/yr.</v>
      </c>
      <c r="F482" s="1">
        <f t="shared" si="283"/>
        <v>0</v>
      </c>
      <c r="G482" s="1">
        <f t="shared" ref="G482:K482" si="286">G471-G493</f>
        <v>0</v>
      </c>
      <c r="H482" s="1">
        <f t="shared" si="286"/>
        <v>0</v>
      </c>
      <c r="I482" s="1">
        <f t="shared" si="286"/>
        <v>0</v>
      </c>
      <c r="J482" s="1">
        <f t="shared" si="286"/>
        <v>0</v>
      </c>
      <c r="K482" s="1">
        <f t="shared" si="286"/>
        <v>0</v>
      </c>
    </row>
    <row r="483" spans="1:18" x14ac:dyDescent="0.25">
      <c r="A483" s="5"/>
      <c r="B483" s="5" t="str">
        <f t="shared" si="256"/>
        <v>SPS4</v>
      </c>
      <c r="C483" s="5" t="s">
        <v>7</v>
      </c>
      <c r="D483" t="s">
        <v>600</v>
      </c>
      <c r="E483" t="str">
        <f>E427</f>
        <v>PJ/yr.</v>
      </c>
      <c r="F483" s="1">
        <f t="shared" si="283"/>
        <v>3.9303156082071751E-2</v>
      </c>
      <c r="G483" s="1">
        <f t="shared" ref="G483:K483" si="287">G472-G494</f>
        <v>5.6915531816821045E-3</v>
      </c>
      <c r="H483" s="1">
        <f t="shared" si="287"/>
        <v>8.2643887236663952E-3</v>
      </c>
      <c r="I483" s="1">
        <f t="shared" si="287"/>
        <v>1.7391703783922036E-2</v>
      </c>
      <c r="J483" s="1">
        <f t="shared" si="287"/>
        <v>1.0831329605098479E-2</v>
      </c>
      <c r="K483" s="1">
        <f t="shared" si="287"/>
        <v>4.6858020133604466E-3</v>
      </c>
    </row>
    <row r="484" spans="1:18" x14ac:dyDescent="0.25">
      <c r="A484" s="5"/>
      <c r="B484" s="5" t="str">
        <f t="shared" si="256"/>
        <v>SPS4</v>
      </c>
      <c r="C484" s="5" t="s">
        <v>7</v>
      </c>
      <c r="D484" t="s">
        <v>601</v>
      </c>
      <c r="E484" t="str">
        <f>E429</f>
        <v>PJ/yr.</v>
      </c>
      <c r="F484" s="1">
        <f t="shared" si="283"/>
        <v>0</v>
      </c>
      <c r="G484" s="1">
        <f t="shared" ref="G484:K484" si="288">G473-G495</f>
        <v>0</v>
      </c>
      <c r="H484" s="1">
        <f t="shared" si="288"/>
        <v>0</v>
      </c>
      <c r="I484" s="1">
        <f t="shared" si="288"/>
        <v>0</v>
      </c>
      <c r="J484" s="1">
        <f t="shared" si="288"/>
        <v>0</v>
      </c>
      <c r="K484" s="1">
        <f t="shared" si="288"/>
        <v>0</v>
      </c>
    </row>
    <row r="485" spans="1:18" x14ac:dyDescent="0.25">
      <c r="A485" s="5"/>
      <c r="B485" s="5" t="str">
        <f t="shared" si="256"/>
        <v>SPS4</v>
      </c>
      <c r="C485" s="5" t="s">
        <v>7</v>
      </c>
      <c r="D485" t="s">
        <v>602</v>
      </c>
      <c r="E485" t="str">
        <f>E431</f>
        <v>PJ/yr.</v>
      </c>
      <c r="F485" s="1">
        <f t="shared" si="283"/>
        <v>7.4267184733635166E-2</v>
      </c>
      <c r="G485" s="1">
        <f t="shared" ref="G485:K485" si="289">G474-G496</f>
        <v>4.2371323221344886E-3</v>
      </c>
      <c r="H485" s="1">
        <f t="shared" si="289"/>
        <v>6.4922118413432489E-3</v>
      </c>
      <c r="I485" s="1">
        <f t="shared" si="289"/>
        <v>0.48447232071890034</v>
      </c>
      <c r="J485" s="1">
        <f t="shared" si="289"/>
        <v>10.848677315615772</v>
      </c>
      <c r="K485" s="1">
        <f t="shared" si="289"/>
        <v>9.8586093938038246</v>
      </c>
    </row>
    <row r="486" spans="1:18" x14ac:dyDescent="0.25">
      <c r="A486" s="5"/>
      <c r="B486" s="5" t="str">
        <f t="shared" si="256"/>
        <v>SPS4</v>
      </c>
      <c r="C486" s="5" t="s">
        <v>7</v>
      </c>
      <c r="D486" t="s">
        <v>603</v>
      </c>
      <c r="E486" t="str">
        <f>E432</f>
        <v>PJ/yr.</v>
      </c>
      <c r="F486" s="1">
        <f t="shared" si="283"/>
        <v>0</v>
      </c>
      <c r="G486" s="1">
        <f t="shared" ref="G486:K486" si="290">G475-G497</f>
        <v>0</v>
      </c>
      <c r="H486" s="1">
        <f t="shared" si="290"/>
        <v>0</v>
      </c>
      <c r="I486" s="1">
        <f t="shared" si="290"/>
        <v>0</v>
      </c>
      <c r="J486" s="1">
        <f t="shared" si="290"/>
        <v>0</v>
      </c>
      <c r="K486" s="1">
        <f t="shared" si="290"/>
        <v>0</v>
      </c>
    </row>
    <row r="487" spans="1:18" x14ac:dyDescent="0.25">
      <c r="A487" s="5"/>
      <c r="B487" s="5" t="str">
        <f t="shared" si="256"/>
        <v>SPS4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tr">
        <f t="shared" si="256"/>
        <v>SPS4</v>
      </c>
      <c r="C488" s="5" t="s">
        <v>7</v>
      </c>
      <c r="D488" t="s">
        <v>605</v>
      </c>
      <c r="E488" t="str">
        <f>E471</f>
        <v>PJ/yr.</v>
      </c>
      <c r="F488" s="1">
        <f>F477-F499</f>
        <v>0.86854540248794077</v>
      </c>
      <c r="G488" s="1">
        <f t="shared" ref="G488:K488" si="291">G477-G499</f>
        <v>0.91880046374947033</v>
      </c>
      <c r="H488" s="1">
        <f t="shared" si="291"/>
        <v>1.673358226398694E-2</v>
      </c>
      <c r="I488" s="1">
        <f t="shared" si="291"/>
        <v>1.7021500182844596E-2</v>
      </c>
      <c r="J488" s="1">
        <f t="shared" si="291"/>
        <v>4.2959490683151205E-2</v>
      </c>
      <c r="K488" s="1">
        <f t="shared" si="291"/>
        <v>8.3885881964743873E-4</v>
      </c>
    </row>
    <row r="489" spans="1:18" x14ac:dyDescent="0.25">
      <c r="A489" s="5"/>
      <c r="B489" s="5" t="str">
        <f t="shared" si="256"/>
        <v>SPS4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2">G478-G500</f>
        <v>0</v>
      </c>
      <c r="H489" s="1">
        <f t="shared" si="292"/>
        <v>0</v>
      </c>
      <c r="I489" s="1">
        <f t="shared" si="292"/>
        <v>6.418129619488382E-5</v>
      </c>
      <c r="J489" s="1">
        <f t="shared" si="292"/>
        <v>2.5114647452022347E-3</v>
      </c>
      <c r="K489" s="1">
        <f t="shared" si="292"/>
        <v>2.4135647951517179E-3</v>
      </c>
    </row>
    <row r="490" spans="1:18" x14ac:dyDescent="0.25">
      <c r="A490" s="5"/>
      <c r="B490" s="5" t="str">
        <f t="shared" si="256"/>
        <v>SPS4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1.6330567461382461</v>
      </c>
      <c r="G490" s="1">
        <f t="shared" ref="G490:K490" si="293">SUM(G491:G500)</f>
        <v>1.8246646454924591</v>
      </c>
      <c r="H490" s="1">
        <f t="shared" si="293"/>
        <v>1.7465147847890046</v>
      </c>
      <c r="I490" s="1">
        <f t="shared" si="293"/>
        <v>1.6816746429524205</v>
      </c>
      <c r="J490" s="1">
        <f t="shared" si="293"/>
        <v>1.4433780753322558</v>
      </c>
      <c r="K490" s="1">
        <f t="shared" si="293"/>
        <v>1.4139036637349798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tr">
        <f t="shared" si="256"/>
        <v>SPS4</v>
      </c>
      <c r="C491" s="5" t="s">
        <v>7</v>
      </c>
      <c r="D491" t="s">
        <v>658</v>
      </c>
      <c r="E491" t="str">
        <f>E403</f>
        <v>PJ/yr.</v>
      </c>
      <c r="F491" s="1">
        <f t="shared" ref="F491:F497" si="294">IFERROR(F346/F314,0)*F469</f>
        <v>2.6391986723867614E-2</v>
      </c>
      <c r="G491" s="1">
        <f t="shared" ref="G491:K491" si="295">IFERROR(G346/G314,0)*G469</f>
        <v>4.2374449356298782E-3</v>
      </c>
      <c r="H491" s="1">
        <f t="shared" si="295"/>
        <v>2.8805286672816672E-3</v>
      </c>
      <c r="I491" s="1">
        <f t="shared" si="295"/>
        <v>1.3614619773944129E-2</v>
      </c>
      <c r="J491" s="1">
        <f t="shared" si="295"/>
        <v>2.6884910261558014E-4</v>
      </c>
      <c r="K491" s="1">
        <f t="shared" si="295"/>
        <v>9.8107951182609322E-5</v>
      </c>
    </row>
    <row r="492" spans="1:18" x14ac:dyDescent="0.25">
      <c r="A492" s="5"/>
      <c r="B492" s="5" t="str">
        <f t="shared" si="256"/>
        <v>SPS4</v>
      </c>
      <c r="C492" s="5" t="s">
        <v>7</v>
      </c>
      <c r="D492" t="s">
        <v>659</v>
      </c>
      <c r="E492" t="str">
        <f>E404</f>
        <v>PJ/yr.</v>
      </c>
      <c r="F492" s="1">
        <f t="shared" si="294"/>
        <v>0</v>
      </c>
      <c r="G492" s="1">
        <f t="shared" ref="G492:K492" si="296">IFERROR(G347/G315,0)*G470</f>
        <v>0</v>
      </c>
      <c r="H492" s="1">
        <f t="shared" si="296"/>
        <v>0</v>
      </c>
      <c r="I492" s="1">
        <f t="shared" si="296"/>
        <v>0</v>
      </c>
      <c r="J492" s="1">
        <f t="shared" si="296"/>
        <v>0</v>
      </c>
      <c r="K492" s="1">
        <f t="shared" si="296"/>
        <v>0</v>
      </c>
    </row>
    <row r="493" spans="1:18" x14ac:dyDescent="0.25">
      <c r="A493" s="5"/>
      <c r="B493" s="5" t="str">
        <f t="shared" si="256"/>
        <v>SPS4</v>
      </c>
      <c r="C493" s="5" t="s">
        <v>7</v>
      </c>
      <c r="D493" t="s">
        <v>660</v>
      </c>
      <c r="E493" t="str">
        <f>E405</f>
        <v>PJ/yr.</v>
      </c>
      <c r="F493" s="1">
        <f t="shared" si="294"/>
        <v>0</v>
      </c>
      <c r="G493" s="1">
        <f t="shared" ref="G493:K493" si="297">IFERROR(G348/G316,0)*G471</f>
        <v>0</v>
      </c>
      <c r="H493" s="1">
        <f t="shared" si="297"/>
        <v>0</v>
      </c>
      <c r="I493" s="1">
        <f t="shared" si="297"/>
        <v>0</v>
      </c>
      <c r="J493" s="1">
        <f t="shared" si="297"/>
        <v>0</v>
      </c>
      <c r="K493" s="1">
        <f t="shared" si="297"/>
        <v>0</v>
      </c>
    </row>
    <row r="494" spans="1:18" x14ac:dyDescent="0.25">
      <c r="A494" s="5"/>
      <c r="B494" s="5" t="str">
        <f t="shared" si="256"/>
        <v>SPS4</v>
      </c>
      <c r="C494" s="5" t="s">
        <v>7</v>
      </c>
      <c r="D494" t="s">
        <v>661</v>
      </c>
      <c r="E494" t="str">
        <f>E433</f>
        <v>PJ/yr.</v>
      </c>
      <c r="F494" s="1">
        <f t="shared" si="294"/>
        <v>1.0397838418916884E-3</v>
      </c>
      <c r="G494" s="1">
        <f t="shared" ref="G494:K494" si="298">IFERROR(G349/G317,0)*G472</f>
        <v>1.7983234044777972E-4</v>
      </c>
      <c r="H494" s="1">
        <f t="shared" si="298"/>
        <v>2.8139487004819259E-4</v>
      </c>
      <c r="I494" s="1">
        <f t="shared" si="298"/>
        <v>5.329652161494468E-4</v>
      </c>
      <c r="J494" s="1">
        <f t="shared" si="298"/>
        <v>3.7917441088426461E-5</v>
      </c>
      <c r="K494" s="1">
        <f t="shared" si="298"/>
        <v>2.1914182572852121E-5</v>
      </c>
    </row>
    <row r="495" spans="1:18" x14ac:dyDescent="0.25">
      <c r="A495" s="5"/>
      <c r="B495" s="5" t="str">
        <f t="shared" si="256"/>
        <v>SPS4</v>
      </c>
      <c r="C495" s="5" t="s">
        <v>7</v>
      </c>
      <c r="D495" t="s">
        <v>662</v>
      </c>
      <c r="E495" t="str">
        <f>E435</f>
        <v>PJ/yr.</v>
      </c>
      <c r="F495" s="1">
        <f t="shared" si="294"/>
        <v>0</v>
      </c>
      <c r="G495" s="1">
        <f t="shared" ref="G495:K495" si="299">IFERROR(G350/G318,0)*G473</f>
        <v>0</v>
      </c>
      <c r="H495" s="1">
        <f t="shared" si="299"/>
        <v>0</v>
      </c>
      <c r="I495" s="1">
        <f t="shared" si="299"/>
        <v>0</v>
      </c>
      <c r="J495" s="1">
        <f t="shared" si="299"/>
        <v>0</v>
      </c>
      <c r="K495" s="1">
        <f t="shared" si="299"/>
        <v>0</v>
      </c>
    </row>
    <row r="496" spans="1:18" x14ac:dyDescent="0.25">
      <c r="A496" s="5"/>
      <c r="B496" s="5" t="str">
        <f t="shared" si="256"/>
        <v>SPS4</v>
      </c>
      <c r="C496" s="5" t="s">
        <v>7</v>
      </c>
      <c r="D496" t="s">
        <v>663</v>
      </c>
      <c r="E496" t="str">
        <f>E437</f>
        <v>PJ/yr.</v>
      </c>
      <c r="F496" s="1">
        <f t="shared" si="294"/>
        <v>1.9647739867904323E-3</v>
      </c>
      <c r="G496" s="1">
        <f t="shared" ref="G496:K496" si="300">IFERROR(G351/G319,0)*G474</f>
        <v>1.3387794121449032E-4</v>
      </c>
      <c r="H496" s="1">
        <f t="shared" si="300"/>
        <v>2.2105386962118276E-4</v>
      </c>
      <c r="I496" s="1">
        <f t="shared" si="300"/>
        <v>1.4846555480612273E-2</v>
      </c>
      <c r="J496" s="1">
        <f t="shared" si="300"/>
        <v>3.7978170547828954E-2</v>
      </c>
      <c r="K496" s="1">
        <f t="shared" si="300"/>
        <v>4.6105952738561419E-2</v>
      </c>
    </row>
    <row r="497" spans="1:11" x14ac:dyDescent="0.25">
      <c r="A497" s="5"/>
      <c r="B497" s="5" t="str">
        <f t="shared" si="256"/>
        <v>SPS4</v>
      </c>
      <c r="C497" s="5" t="s">
        <v>7</v>
      </c>
      <c r="D497" t="s">
        <v>664</v>
      </c>
      <c r="E497" t="str">
        <f>E438</f>
        <v>PJ/yr.</v>
      </c>
      <c r="F497" s="1">
        <f t="shared" si="294"/>
        <v>0</v>
      </c>
      <c r="G497" s="1">
        <f t="shared" ref="G497:K497" si="301">IFERROR(G352/G320,0)*G475</f>
        <v>0</v>
      </c>
      <c r="H497" s="1">
        <f t="shared" si="301"/>
        <v>0</v>
      </c>
      <c r="I497" s="1">
        <f t="shared" si="301"/>
        <v>0</v>
      </c>
      <c r="J497" s="1">
        <f t="shared" si="301"/>
        <v>0</v>
      </c>
      <c r="K497" s="1">
        <f t="shared" si="301"/>
        <v>0</v>
      </c>
    </row>
    <row r="498" spans="1:11" x14ac:dyDescent="0.25">
      <c r="A498" s="5"/>
      <c r="B498" s="5" t="str">
        <f t="shared" si="256"/>
        <v>SPS4</v>
      </c>
      <c r="C498" s="5" t="s">
        <v>7</v>
      </c>
      <c r="D498" t="s">
        <v>665</v>
      </c>
      <c r="E498" t="str">
        <f>E461</f>
        <v>PJ/yr.</v>
      </c>
      <c r="F498" s="1">
        <f>F476</f>
        <v>1.5806824164538755</v>
      </c>
      <c r="G498" s="1">
        <f t="shared" ref="G498:K498" si="302">G476</f>
        <v>1.7910827437414518</v>
      </c>
      <c r="H498" s="1">
        <f t="shared" si="302"/>
        <v>1.7425620442254475</v>
      </c>
      <c r="I498" s="1">
        <f t="shared" si="302"/>
        <v>1.6521569152566977</v>
      </c>
      <c r="J498" s="1">
        <f t="shared" si="302"/>
        <v>1.4049339572041788</v>
      </c>
      <c r="K498" s="1">
        <f t="shared" si="302"/>
        <v>1.36766247818908</v>
      </c>
    </row>
    <row r="499" spans="1:11" x14ac:dyDescent="0.25">
      <c r="A499" s="5"/>
      <c r="B499" s="5" t="str">
        <f t="shared" si="256"/>
        <v>SPS4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2.2977785131820996E-2</v>
      </c>
      <c r="G499" s="1">
        <f t="shared" ref="G499:K499" si="303">IFERROR(G354/G322,0)*G477</f>
        <v>2.9030746533715093E-2</v>
      </c>
      <c r="H499" s="1">
        <f t="shared" si="303"/>
        <v>5.6976315660601975E-4</v>
      </c>
      <c r="I499" s="1">
        <f t="shared" si="303"/>
        <v>5.2162040228193203E-4</v>
      </c>
      <c r="J499" s="1">
        <f t="shared" si="303"/>
        <v>1.5038910425183778E-4</v>
      </c>
      <c r="K499" s="1">
        <f t="shared" si="303"/>
        <v>3.9231075649777018E-6</v>
      </c>
    </row>
    <row r="500" spans="1:11" x14ac:dyDescent="0.25">
      <c r="A500" s="5"/>
      <c r="B500" s="5" t="str">
        <f t="shared" ref="B500:B563" si="304">B499</f>
        <v>SPS4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5">IFERROR(G355/G323,0)*G478</f>
        <v>0</v>
      </c>
      <c r="H500" s="1">
        <f t="shared" si="305"/>
        <v>0</v>
      </c>
      <c r="I500" s="1">
        <f t="shared" si="305"/>
        <v>1.9668227348076337E-6</v>
      </c>
      <c r="J500" s="1">
        <f t="shared" si="305"/>
        <v>8.7919322921385571E-6</v>
      </c>
      <c r="K500" s="1">
        <f t="shared" si="305"/>
        <v>1.1287566017846851E-5</v>
      </c>
    </row>
    <row r="501" spans="1:11" x14ac:dyDescent="0.25">
      <c r="A501" s="5"/>
      <c r="B501" s="5" t="str">
        <f t="shared" si="304"/>
        <v>SPS4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3.3175176439514846</v>
      </c>
      <c r="G501" s="1">
        <f t="shared" ref="G501:K501" si="306">SUM(G502:G503)</f>
        <v>3.3046570361854917</v>
      </c>
      <c r="H501" s="1">
        <f t="shared" si="306"/>
        <v>4.7994868459039202</v>
      </c>
      <c r="I501" s="1">
        <f t="shared" si="306"/>
        <v>4.6781481362419015</v>
      </c>
      <c r="J501" s="1">
        <f t="shared" si="306"/>
        <v>4.4136034168975966</v>
      </c>
      <c r="K501" s="1">
        <f t="shared" si="306"/>
        <v>4.0403061849523407</v>
      </c>
    </row>
    <row r="502" spans="1:11" x14ac:dyDescent="0.25">
      <c r="A502" s="5"/>
      <c r="B502" s="5" t="str">
        <f t="shared" si="304"/>
        <v>SPS4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3.3175176439514846</v>
      </c>
      <c r="G502" s="6">
        <f>'[1]Electricity and CHPs_IN'!C$44-G361</f>
        <v>3.3046570361854917</v>
      </c>
      <c r="H502" s="6">
        <f>'[1]Electricity and CHPs_IN'!D$44-H361</f>
        <v>4.7994868459039202</v>
      </c>
      <c r="I502" s="6">
        <f>'[1]Electricity and CHPs_IN'!E$44-I361</f>
        <v>4.6781481362419015</v>
      </c>
      <c r="J502" s="6">
        <f>'[1]Electricity and CHPs_IN'!F$44-J361</f>
        <v>4.4136034168975966</v>
      </c>
      <c r="K502" s="6">
        <f>'[1]Electricity and CHPs_IN'!G$44-K361</f>
        <v>4.0403061849523407</v>
      </c>
    </row>
    <row r="503" spans="1:11" x14ac:dyDescent="0.25">
      <c r="A503" s="5"/>
      <c r="B503" s="5" t="str">
        <f t="shared" si="304"/>
        <v>SPS4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0</v>
      </c>
      <c r="K503" s="1">
        <f>'[1]Electricity and CHPs_IN'!G$45</f>
        <v>0</v>
      </c>
    </row>
    <row r="504" spans="1:11" x14ac:dyDescent="0.25">
      <c r="A504" s="5"/>
      <c r="B504" s="5" t="str">
        <f t="shared" si="304"/>
        <v>SPS4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07">SUM(G505:G506)</f>
        <v>0</v>
      </c>
      <c r="H504" s="1">
        <f t="shared" si="307"/>
        <v>0</v>
      </c>
      <c r="I504" s="1">
        <f t="shared" si="307"/>
        <v>0</v>
      </c>
      <c r="J504" s="1">
        <f t="shared" si="307"/>
        <v>0</v>
      </c>
      <c r="K504" s="1">
        <f t="shared" si="307"/>
        <v>0</v>
      </c>
    </row>
    <row r="505" spans="1:11" x14ac:dyDescent="0.25">
      <c r="A505" s="5"/>
      <c r="B505" s="5" t="str">
        <f t="shared" si="304"/>
        <v>SPS4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tr">
        <f t="shared" si="304"/>
        <v>SPS4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tr">
        <f t="shared" si="304"/>
        <v>SPS4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3.3175176439514846</v>
      </c>
      <c r="G507" s="1">
        <f t="shared" ref="G507:K507" si="308">SUM(G508:G509)</f>
        <v>3.3046570361854917</v>
      </c>
      <c r="H507" s="1">
        <f t="shared" si="308"/>
        <v>4.7994868459039202</v>
      </c>
      <c r="I507" s="1">
        <f t="shared" si="308"/>
        <v>4.6781481362419015</v>
      </c>
      <c r="J507" s="1">
        <f t="shared" si="308"/>
        <v>4.4136034168975966</v>
      </c>
      <c r="K507" s="1">
        <f t="shared" si="308"/>
        <v>4.0403061849523407</v>
      </c>
    </row>
    <row r="508" spans="1:11" x14ac:dyDescent="0.25">
      <c r="A508" s="5"/>
      <c r="B508" s="5" t="str">
        <f t="shared" si="304"/>
        <v>SPS4</v>
      </c>
      <c r="C508" s="5" t="s">
        <v>7</v>
      </c>
      <c r="D508" t="s">
        <v>221</v>
      </c>
      <c r="E508" t="str">
        <f>E411</f>
        <v>PJ/yr.</v>
      </c>
      <c r="F508" s="1">
        <f>F502</f>
        <v>3.3175176439514846</v>
      </c>
      <c r="G508" s="1">
        <f t="shared" ref="G508:K508" si="309">G502</f>
        <v>3.3046570361854917</v>
      </c>
      <c r="H508" s="1">
        <f t="shared" si="309"/>
        <v>4.7994868459039202</v>
      </c>
      <c r="I508" s="1">
        <f t="shared" si="309"/>
        <v>4.6781481362419015</v>
      </c>
      <c r="J508" s="1">
        <f t="shared" si="309"/>
        <v>4.4136034168975966</v>
      </c>
      <c r="K508" s="1">
        <f t="shared" si="309"/>
        <v>4.0403061849523407</v>
      </c>
    </row>
    <row r="509" spans="1:11" x14ac:dyDescent="0.25">
      <c r="A509" s="5"/>
      <c r="B509" s="5" t="str">
        <f t="shared" si="304"/>
        <v>SPS4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0">G503</f>
        <v>0</v>
      </c>
      <c r="H509" s="1">
        <f t="shared" si="310"/>
        <v>0</v>
      </c>
      <c r="I509" s="1">
        <f t="shared" si="310"/>
        <v>0</v>
      </c>
      <c r="J509" s="1">
        <f t="shared" si="310"/>
        <v>0</v>
      </c>
      <c r="K509" s="1">
        <f t="shared" si="310"/>
        <v>0</v>
      </c>
    </row>
    <row r="510" spans="1:11" x14ac:dyDescent="0.25">
      <c r="A510" s="5"/>
      <c r="B510" s="5" t="str">
        <f t="shared" si="304"/>
        <v>SPS4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0.69180759302847528</v>
      </c>
      <c r="G510" s="1">
        <f t="shared" ref="G510:K510" si="311">SUM(G511:G515)</f>
        <v>1.7916163343272768</v>
      </c>
      <c r="H510" s="1">
        <f t="shared" si="311"/>
        <v>3.3831472627262924</v>
      </c>
      <c r="I510" s="1">
        <f t="shared" si="311"/>
        <v>3.2934280626176484</v>
      </c>
      <c r="J510" s="1">
        <f t="shared" si="311"/>
        <v>8.7309177585575917</v>
      </c>
      <c r="K510" s="1">
        <f t="shared" si="311"/>
        <v>10.869739702938624</v>
      </c>
    </row>
    <row r="511" spans="1:11" x14ac:dyDescent="0.25">
      <c r="A511" s="5"/>
      <c r="B511" s="5" t="str">
        <f t="shared" si="304"/>
        <v>SPS4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0.69180759302847528</v>
      </c>
      <c r="G511" s="6">
        <f>'[1]Electricity and CHPs_IN'!C$42-G380</f>
        <v>1.7916163343272768</v>
      </c>
      <c r="H511" s="6">
        <f>'[1]Electricity and CHPs_IN'!D$42-H380</f>
        <v>3.3831472627262924</v>
      </c>
      <c r="I511" s="6">
        <f>'[1]Electricity and CHPs_IN'!E$42-I380</f>
        <v>3.2859980966297608</v>
      </c>
      <c r="J511" s="6">
        <f>'[1]Electricity and CHPs_IN'!F$42-J380</f>
        <v>8.7238353173388319</v>
      </c>
      <c r="K511" s="6">
        <f>'[1]Electricity and CHPs_IN'!G$42-K380</f>
        <v>10.86605035382653</v>
      </c>
    </row>
    <row r="512" spans="1:11" x14ac:dyDescent="0.25">
      <c r="A512" s="5"/>
      <c r="B512" s="5" t="str">
        <f t="shared" si="304"/>
        <v>SPS4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1.1737768484543066E-4</v>
      </c>
      <c r="K512" s="1">
        <f>'[1]Electricity and CHPs_IN'!G$43-K381</f>
        <v>6.1363959274520714E-5</v>
      </c>
    </row>
    <row r="513" spans="1:11" x14ac:dyDescent="0.25">
      <c r="A513" s="5"/>
      <c r="B513" s="5" t="str">
        <f t="shared" si="304"/>
        <v>SPS4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2.1833313816038598E-3</v>
      </c>
      <c r="J513" s="1">
        <f>'[1]Electricity and CHPs_IN'!F$50-J382</f>
        <v>2.3783636333987203E-3</v>
      </c>
      <c r="K513" s="1">
        <f>'[1]Electricity and CHPs_IN'!G$50-K382</f>
        <v>1.3367657921012121E-3</v>
      </c>
    </row>
    <row r="514" spans="1:11" x14ac:dyDescent="0.25">
      <c r="A514" s="5"/>
      <c r="B514" s="5" t="str">
        <f t="shared" si="304"/>
        <v>SPS4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3.9732220539829104E-3</v>
      </c>
      <c r="J514" s="1">
        <f>'[1]Electricity and CHPs_IN'!F$53-J383</f>
        <v>3.5045454602819475E-3</v>
      </c>
      <c r="K514" s="1">
        <f>'[1]Electricity and CHPs_IN'!G$53-K383</f>
        <v>1.9201679730183191E-3</v>
      </c>
    </row>
    <row r="515" spans="1:11" x14ac:dyDescent="0.25">
      <c r="A515" s="5"/>
      <c r="B515" s="5" t="str">
        <f t="shared" si="304"/>
        <v>SPS4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1.2734125523004504E-3</v>
      </c>
      <c r="J515" s="1">
        <f>'[1]Electricity and CHPs_IN'!F$56-J384</f>
        <v>1.0821544402334141E-3</v>
      </c>
      <c r="K515" s="1">
        <f>'[1]Electricity and CHPs_IN'!G$56-K384</f>
        <v>3.7105138769841537E-4</v>
      </c>
    </row>
    <row r="516" spans="1:11" x14ac:dyDescent="0.25">
      <c r="A516" s="5"/>
      <c r="B516" s="5" t="str">
        <f t="shared" si="304"/>
        <v>SPS4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2">SUM(G517:G518)</f>
        <v>0</v>
      </c>
      <c r="H516" s="1">
        <f t="shared" si="312"/>
        <v>0</v>
      </c>
      <c r="I516" s="1">
        <f t="shared" si="312"/>
        <v>2.4280341480361883E-3</v>
      </c>
      <c r="J516" s="1">
        <f t="shared" si="312"/>
        <v>1.1835299753365917E-2</v>
      </c>
      <c r="K516" s="1">
        <f t="shared" si="312"/>
        <v>2.6290156154513453E-2</v>
      </c>
    </row>
    <row r="517" spans="1:11" x14ac:dyDescent="0.25">
      <c r="A517" s="5"/>
      <c r="B517" s="5" t="str">
        <f t="shared" si="304"/>
        <v>SPS4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2.0415063544745988E-3</v>
      </c>
      <c r="J517" s="1">
        <f>'[1]Electricity and CHPs_IN'!F$46-J397</f>
        <v>1.1472205466673924E-2</v>
      </c>
      <c r="K517" s="1">
        <f>'[1]Electricity and CHPs_IN'!G$46-K397</f>
        <v>2.6091658043826883E-2</v>
      </c>
    </row>
    <row r="518" spans="1:11" x14ac:dyDescent="0.25">
      <c r="A518" s="5"/>
      <c r="B518" s="5" t="str">
        <f t="shared" si="304"/>
        <v>SPS4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3.865277935615896E-4</v>
      </c>
      <c r="J518" s="1">
        <f>'[1]Electricity and CHPs_IN'!F$57-J398</f>
        <v>3.6309428669199187E-4</v>
      </c>
      <c r="K518" s="1">
        <f>'[1]Electricity and CHPs_IN'!G$57-K398</f>
        <v>1.984981106865679E-4</v>
      </c>
    </row>
    <row r="519" spans="1:11" x14ac:dyDescent="0.25">
      <c r="A519" s="5"/>
      <c r="B519" s="9" t="str">
        <f t="shared" si="304"/>
        <v>SPS4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tr">
        <f t="shared" si="304"/>
        <v>SPS4</v>
      </c>
      <c r="C520" s="5" t="s">
        <v>7</v>
      </c>
      <c r="D520" t="s">
        <v>242</v>
      </c>
      <c r="E520" s="5" t="s">
        <v>240</v>
      </c>
      <c r="F520" s="13">
        <f t="shared" ref="F520:K520" si="313">IFERROR(F63/F291,"-")</f>
        <v>0.32978921126656002</v>
      </c>
      <c r="G520" s="13">
        <f t="shared" si="313"/>
        <v>0.3267273210712146</v>
      </c>
      <c r="H520" s="13">
        <f t="shared" si="313"/>
        <v>0.325864236598849</v>
      </c>
      <c r="I520" s="13">
        <f t="shared" si="313"/>
        <v>0.33004734057521307</v>
      </c>
      <c r="J520" s="13">
        <f t="shared" si="313"/>
        <v>0.33170584005147602</v>
      </c>
      <c r="K520" s="13" t="str">
        <f t="shared" si="313"/>
        <v>-</v>
      </c>
    </row>
    <row r="521" spans="1:11" x14ac:dyDescent="0.25">
      <c r="A521" s="5"/>
      <c r="B521" s="5" t="str">
        <f t="shared" si="304"/>
        <v>SPS4</v>
      </c>
      <c r="C521" s="5" t="s">
        <v>7</v>
      </c>
      <c r="D521" t="s">
        <v>243</v>
      </c>
      <c r="E521" s="5" t="s">
        <v>240</v>
      </c>
      <c r="F521" s="13">
        <f t="shared" ref="F521:K523" si="314">IFERROR(F65/F293,"-")</f>
        <v>1</v>
      </c>
      <c r="G521" s="13">
        <f t="shared" si="314"/>
        <v>1</v>
      </c>
      <c r="H521" s="13">
        <f t="shared" si="314"/>
        <v>1</v>
      </c>
      <c r="I521" s="13">
        <f t="shared" si="314"/>
        <v>1</v>
      </c>
      <c r="J521" s="13">
        <f t="shared" si="314"/>
        <v>1</v>
      </c>
      <c r="K521" s="13">
        <f t="shared" si="314"/>
        <v>1</v>
      </c>
    </row>
    <row r="522" spans="1:11" x14ac:dyDescent="0.25">
      <c r="A522" s="5"/>
      <c r="B522" s="5" t="str">
        <f t="shared" si="304"/>
        <v>SPS4</v>
      </c>
      <c r="C522" s="5" t="s">
        <v>7</v>
      </c>
      <c r="D522" t="s">
        <v>244</v>
      </c>
      <c r="E522" s="5" t="s">
        <v>240</v>
      </c>
      <c r="F522" s="13">
        <f t="shared" si="314"/>
        <v>1</v>
      </c>
      <c r="G522" s="13">
        <f t="shared" si="314"/>
        <v>1</v>
      </c>
      <c r="H522" s="13">
        <f t="shared" si="314"/>
        <v>1</v>
      </c>
      <c r="I522" s="13">
        <f t="shared" si="314"/>
        <v>1</v>
      </c>
      <c r="J522" s="13">
        <f t="shared" si="314"/>
        <v>1</v>
      </c>
      <c r="K522" s="13">
        <f t="shared" si="314"/>
        <v>1</v>
      </c>
    </row>
    <row r="523" spans="1:11" x14ac:dyDescent="0.25">
      <c r="A523" s="5"/>
      <c r="B523" s="5" t="str">
        <f t="shared" si="304"/>
        <v>SPS4</v>
      </c>
      <c r="C523" s="5" t="s">
        <v>7</v>
      </c>
      <c r="D523" t="s">
        <v>245</v>
      </c>
      <c r="E523" s="5" t="s">
        <v>240</v>
      </c>
      <c r="F523" s="13">
        <f t="shared" si="314"/>
        <v>0.79999999726808979</v>
      </c>
      <c r="G523" s="13">
        <f t="shared" si="314"/>
        <v>0.79999993774192812</v>
      </c>
      <c r="H523" s="13">
        <f t="shared" si="314"/>
        <v>0.79999999568039348</v>
      </c>
      <c r="I523" s="13">
        <f t="shared" si="314"/>
        <v>0.8000000371083239</v>
      </c>
      <c r="J523" s="13">
        <f t="shared" si="314"/>
        <v>0.80000020115642434</v>
      </c>
      <c r="K523" s="13">
        <f t="shared" si="314"/>
        <v>0.80000013210989507</v>
      </c>
    </row>
    <row r="524" spans="1:11" x14ac:dyDescent="0.25">
      <c r="A524" s="5"/>
      <c r="B524" s="5" t="str">
        <f t="shared" si="304"/>
        <v>SPS4</v>
      </c>
      <c r="C524" s="5" t="s">
        <v>7</v>
      </c>
      <c r="D524" t="s">
        <v>246</v>
      </c>
      <c r="E524" s="5" t="s">
        <v>240</v>
      </c>
      <c r="F524" s="13">
        <f>IFERROR(F69/F297,"-")</f>
        <v>0.34231095364207376</v>
      </c>
      <c r="G524" s="13">
        <f t="shared" ref="G524:K524" si="315">IFERROR(G69/G297,"-")</f>
        <v>0.12242339689865853</v>
      </c>
      <c r="H524" s="13">
        <f t="shared" si="315"/>
        <v>0.26928161143001506</v>
      </c>
      <c r="I524" s="13">
        <f t="shared" si="315"/>
        <v>0.28444450430451518</v>
      </c>
      <c r="J524" s="13">
        <f t="shared" si="315"/>
        <v>0.32183112970755851</v>
      </c>
      <c r="K524" s="13">
        <f t="shared" si="315"/>
        <v>0.30987176766036545</v>
      </c>
    </row>
    <row r="525" spans="1:11" x14ac:dyDescent="0.25">
      <c r="A525" s="5"/>
      <c r="B525" s="5" t="str">
        <f t="shared" si="304"/>
        <v>SPS4</v>
      </c>
      <c r="C525" s="5" t="s">
        <v>7</v>
      </c>
      <c r="D525" t="s">
        <v>247</v>
      </c>
      <c r="E525" s="5" t="s">
        <v>240</v>
      </c>
      <c r="F525" s="13">
        <f>IFERROR(F70/(F298+F411),"-")</f>
        <v>9.6347625508743359E-2</v>
      </c>
      <c r="G525" s="13">
        <f t="shared" ref="G525:K525" si="316">IFERROR(G70/(G298+G411),"-")</f>
        <v>5.9549485678975604E-2</v>
      </c>
      <c r="H525" s="13">
        <f t="shared" si="316"/>
        <v>9.001499056350365E-2</v>
      </c>
      <c r="I525" s="13">
        <f t="shared" si="316"/>
        <v>9.9014302085310729E-2</v>
      </c>
      <c r="J525" s="13">
        <f t="shared" si="316"/>
        <v>0.10410212847299292</v>
      </c>
      <c r="K525" s="13">
        <f t="shared" si="316"/>
        <v>0.10108265619958738</v>
      </c>
    </row>
    <row r="526" spans="1:11" x14ac:dyDescent="0.25">
      <c r="A526" s="5"/>
      <c r="B526" s="5" t="str">
        <f t="shared" si="304"/>
        <v>SPS4</v>
      </c>
      <c r="C526" s="5" t="s">
        <v>7</v>
      </c>
      <c r="D526" t="s">
        <v>248</v>
      </c>
      <c r="E526" s="5" t="s">
        <v>240</v>
      </c>
      <c r="F526" s="13">
        <f>IFERROR(F71/(F299+F463),"-")</f>
        <v>0.24091874026033747</v>
      </c>
      <c r="G526" s="13">
        <f t="shared" ref="G526:K526" si="317">IFERROR(G71/(G299+G463),"-")</f>
        <v>0.24658896137565153</v>
      </c>
      <c r="H526" s="13">
        <f t="shared" si="317"/>
        <v>0.25188179202596267</v>
      </c>
      <c r="I526" s="13">
        <f t="shared" si="317"/>
        <v>0.26310035283329603</v>
      </c>
      <c r="J526" s="13">
        <f t="shared" si="317"/>
        <v>0.2566161289774011</v>
      </c>
      <c r="K526" s="13">
        <f t="shared" si="317"/>
        <v>0.26206860908496354</v>
      </c>
    </row>
    <row r="527" spans="1:11" x14ac:dyDescent="0.25">
      <c r="A527" s="5"/>
      <c r="B527" s="5" t="str">
        <f t="shared" si="304"/>
        <v>SPS4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18">IFERROR(G81/G309,"-")</f>
        <v>-</v>
      </c>
      <c r="H527" s="13" t="str">
        <f t="shared" si="318"/>
        <v>-</v>
      </c>
      <c r="I527" s="13" t="str">
        <f t="shared" si="318"/>
        <v>-</v>
      </c>
      <c r="J527" s="13">
        <f t="shared" si="318"/>
        <v>0.61291670841101231</v>
      </c>
      <c r="K527" s="13">
        <f t="shared" si="318"/>
        <v>0.60003570321488353</v>
      </c>
    </row>
    <row r="528" spans="1:11" x14ac:dyDescent="0.25">
      <c r="A528" s="5"/>
      <c r="B528" s="5" t="str">
        <f t="shared" si="304"/>
        <v>SPS4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19">IFERROR(G82/G310,"-")</f>
        <v>0.28274329664457709</v>
      </c>
      <c r="H528" s="13">
        <f t="shared" si="319"/>
        <v>0.30693369806450016</v>
      </c>
      <c r="I528" s="13">
        <f t="shared" si="319"/>
        <v>0.37543331236407823</v>
      </c>
      <c r="J528" s="13">
        <f t="shared" si="319"/>
        <v>0.41334904779534998</v>
      </c>
      <c r="K528" s="13">
        <f t="shared" si="319"/>
        <v>0.41307832771882286</v>
      </c>
    </row>
    <row r="529" spans="1:11" x14ac:dyDescent="0.25">
      <c r="A529" s="5"/>
      <c r="B529" s="5" t="str">
        <f t="shared" si="304"/>
        <v>SPS4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0">IFERROR(G83/G311,"-")</f>
        <v>-</v>
      </c>
      <c r="H529" s="13" t="str">
        <f t="shared" si="320"/>
        <v>-</v>
      </c>
      <c r="I529" s="13" t="str">
        <f t="shared" si="320"/>
        <v>-</v>
      </c>
      <c r="J529" s="13">
        <f t="shared" si="320"/>
        <v>0</v>
      </c>
      <c r="K529" s="13">
        <f t="shared" si="320"/>
        <v>0</v>
      </c>
    </row>
    <row r="530" spans="1:11" x14ac:dyDescent="0.25">
      <c r="A530" s="5"/>
      <c r="B530" s="5" t="str">
        <f t="shared" si="304"/>
        <v>SPS4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0.26307700684617907</v>
      </c>
      <c r="G530" s="13">
        <f t="shared" ref="G530:K530" si="321">IFERROR(G84/SUM(G312,G417),"-")</f>
        <v>0.2015033910612313</v>
      </c>
      <c r="H530" s="13">
        <f t="shared" si="321"/>
        <v>0.18089754155880688</v>
      </c>
      <c r="I530" s="13">
        <f t="shared" si="321"/>
        <v>0.23897592615014293</v>
      </c>
      <c r="J530" s="13">
        <f t="shared" si="321"/>
        <v>0.24149117817477533</v>
      </c>
      <c r="K530" s="13">
        <f t="shared" si="321"/>
        <v>0.21917204735012569</v>
      </c>
    </row>
    <row r="531" spans="1:11" x14ac:dyDescent="0.25">
      <c r="A531" s="5"/>
      <c r="B531" s="5" t="str">
        <f t="shared" si="304"/>
        <v>SPS4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2">IFERROR(G85/SUM(G313,G418),"-")</f>
        <v>-</v>
      </c>
      <c r="H531" s="13" t="str">
        <f t="shared" si="322"/>
        <v>-</v>
      </c>
      <c r="I531" s="13" t="str">
        <f t="shared" si="322"/>
        <v>-</v>
      </c>
      <c r="J531" s="13">
        <f t="shared" si="322"/>
        <v>0.40000000000000047</v>
      </c>
      <c r="K531" s="13">
        <f t="shared" si="322"/>
        <v>0.3999999999999998</v>
      </c>
    </row>
    <row r="532" spans="1:11" x14ac:dyDescent="0.25">
      <c r="A532" s="5"/>
      <c r="B532" s="5" t="str">
        <f t="shared" si="304"/>
        <v>SPS4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0.34943513023417655</v>
      </c>
      <c r="G532" s="13">
        <f t="shared" ref="G532:K532" si="323">IFERROR(G86/SUM(G314,G469),"-'")</f>
        <v>0.35159740079255236</v>
      </c>
      <c r="H532" s="13">
        <f t="shared" si="323"/>
        <v>0.35279495277726119</v>
      </c>
      <c r="I532" s="13">
        <f t="shared" si="323"/>
        <v>0.35994825838146627</v>
      </c>
      <c r="J532" s="13">
        <f t="shared" si="323"/>
        <v>0.35646867246392383</v>
      </c>
      <c r="K532" s="13">
        <f t="shared" si="323"/>
        <v>0.35605504213826206</v>
      </c>
    </row>
    <row r="533" spans="1:11" x14ac:dyDescent="0.25">
      <c r="A533" s="5"/>
      <c r="B533" s="5" t="str">
        <f t="shared" si="304"/>
        <v>SPS4</v>
      </c>
      <c r="C533" s="5" t="s">
        <v>7</v>
      </c>
      <c r="D533" t="s">
        <v>255</v>
      </c>
      <c r="E533" s="5" t="s">
        <v>240</v>
      </c>
      <c r="F533" s="13" t="str">
        <f t="shared" ref="F533:F541" si="324">IFERROR(F87/SUM(F315,F470),"-")</f>
        <v>-</v>
      </c>
      <c r="G533" s="13" t="str">
        <f t="shared" ref="G533:K533" si="325">IFERROR(G87/SUM(G315,G470),"-")</f>
        <v>-</v>
      </c>
      <c r="H533" s="13" t="str">
        <f t="shared" si="325"/>
        <v>-</v>
      </c>
      <c r="I533" s="13" t="str">
        <f t="shared" si="325"/>
        <v>-</v>
      </c>
      <c r="J533" s="13">
        <f t="shared" si="325"/>
        <v>0</v>
      </c>
      <c r="K533" s="13">
        <f t="shared" si="325"/>
        <v>0</v>
      </c>
    </row>
    <row r="534" spans="1:11" x14ac:dyDescent="0.25">
      <c r="A534" s="5"/>
      <c r="B534" s="5" t="str">
        <f t="shared" si="304"/>
        <v>SPS4</v>
      </c>
      <c r="C534" s="5" t="s">
        <v>7</v>
      </c>
      <c r="D534" t="s">
        <v>256</v>
      </c>
      <c r="E534" s="5" t="s">
        <v>240</v>
      </c>
      <c r="F534" s="13" t="str">
        <f t="shared" si="324"/>
        <v>-</v>
      </c>
      <c r="G534" s="13" t="str">
        <f t="shared" ref="G534:K534" si="326">IFERROR(G88/SUM(G316,G471),"-")</f>
        <v>-</v>
      </c>
      <c r="H534" s="13" t="str">
        <f t="shared" si="326"/>
        <v>-</v>
      </c>
      <c r="I534" s="13" t="str">
        <f t="shared" si="326"/>
        <v>-</v>
      </c>
      <c r="J534" s="13" t="str">
        <f t="shared" si="326"/>
        <v>-</v>
      </c>
      <c r="K534" s="13" t="str">
        <f t="shared" si="326"/>
        <v>-</v>
      </c>
    </row>
    <row r="535" spans="1:11" x14ac:dyDescent="0.25">
      <c r="A535" s="5"/>
      <c r="B535" s="5" t="str">
        <f t="shared" si="304"/>
        <v>SPS4</v>
      </c>
      <c r="C535" s="5" t="s">
        <v>7</v>
      </c>
      <c r="D535" t="s">
        <v>257</v>
      </c>
      <c r="E535" s="5" t="s">
        <v>240</v>
      </c>
      <c r="F535" s="13">
        <f t="shared" si="324"/>
        <v>0.23826123965277649</v>
      </c>
      <c r="G535" s="13">
        <f t="shared" ref="G535:K535" si="327">IFERROR(G89/SUM(G317,G472),"-")</f>
        <v>0.2695047207298682</v>
      </c>
      <c r="H535" s="13">
        <f t="shared" si="327"/>
        <v>0.21992684181979844</v>
      </c>
      <c r="I535" s="13">
        <f t="shared" si="327"/>
        <v>0.26606553831870272</v>
      </c>
      <c r="J535" s="13">
        <f t="shared" si="327"/>
        <v>0.23850536577825418</v>
      </c>
      <c r="K535" s="13">
        <f t="shared" si="327"/>
        <v>0.24875828208565245</v>
      </c>
    </row>
    <row r="536" spans="1:11" x14ac:dyDescent="0.25">
      <c r="A536" s="5"/>
      <c r="B536" s="5" t="str">
        <f t="shared" si="304"/>
        <v>SPS4</v>
      </c>
      <c r="C536" s="5" t="s">
        <v>7</v>
      </c>
      <c r="D536" t="s">
        <v>258</v>
      </c>
      <c r="E536" s="5" t="s">
        <v>240</v>
      </c>
      <c r="F536" s="13" t="str">
        <f t="shared" si="324"/>
        <v>-</v>
      </c>
      <c r="G536" s="13" t="str">
        <f t="shared" ref="G536:K536" si="328">IFERROR(G90/SUM(G318,G473),"-")</f>
        <v>-</v>
      </c>
      <c r="H536" s="13" t="str">
        <f t="shared" si="328"/>
        <v>-</v>
      </c>
      <c r="I536" s="13">
        <f t="shared" si="328"/>
        <v>0.4200000000000001</v>
      </c>
      <c r="J536" s="13">
        <f t="shared" si="328"/>
        <v>0.43999999999999978</v>
      </c>
      <c r="K536" s="13">
        <f t="shared" si="328"/>
        <v>0.44999999999999962</v>
      </c>
    </row>
    <row r="537" spans="1:11" x14ac:dyDescent="0.25">
      <c r="A537" s="5"/>
      <c r="B537" s="5" t="str">
        <f t="shared" si="304"/>
        <v>SPS4</v>
      </c>
      <c r="C537" s="5" t="s">
        <v>7</v>
      </c>
      <c r="D537" t="s">
        <v>259</v>
      </c>
      <c r="E537" s="5" t="s">
        <v>240</v>
      </c>
      <c r="F537" s="13">
        <f t="shared" si="324"/>
        <v>0.27171252136505875</v>
      </c>
      <c r="G537" s="13">
        <f t="shared" ref="G537:K537" si="329">IFERROR(G91/SUM(G319,G474),"-")</f>
        <v>0.2886928721637938</v>
      </c>
      <c r="H537" s="13">
        <f t="shared" si="329"/>
        <v>0.22372737439195642</v>
      </c>
      <c r="I537" s="13">
        <f t="shared" si="329"/>
        <v>0.29952617761618078</v>
      </c>
      <c r="J537" s="13">
        <f t="shared" si="329"/>
        <v>0.30354061895020079</v>
      </c>
      <c r="K537" s="13">
        <f t="shared" si="329"/>
        <v>0.30853553532863132</v>
      </c>
    </row>
    <row r="538" spans="1:11" x14ac:dyDescent="0.25">
      <c r="A538" s="5"/>
      <c r="B538" s="5" t="str">
        <f t="shared" si="304"/>
        <v>SPS4</v>
      </c>
      <c r="C538" s="5" t="s">
        <v>7</v>
      </c>
      <c r="D538" t="s">
        <v>260</v>
      </c>
      <c r="E538" s="5" t="s">
        <v>240</v>
      </c>
      <c r="F538" s="13" t="str">
        <f t="shared" si="324"/>
        <v>-</v>
      </c>
      <c r="G538" s="13" t="str">
        <f t="shared" ref="G538:K538" si="330">IFERROR(G92/SUM(G320,G475),"-")</f>
        <v>-</v>
      </c>
      <c r="H538" s="13" t="str">
        <f t="shared" si="330"/>
        <v>-</v>
      </c>
      <c r="I538" s="13">
        <f t="shared" si="330"/>
        <v>0.41999999999999971</v>
      </c>
      <c r="J538" s="13">
        <f t="shared" si="330"/>
        <v>0.44000000000000006</v>
      </c>
      <c r="K538" s="13">
        <f t="shared" si="330"/>
        <v>0.44999999999999996</v>
      </c>
    </row>
    <row r="539" spans="1:11" x14ac:dyDescent="0.25">
      <c r="A539" s="5"/>
      <c r="B539" s="5" t="str">
        <f t="shared" si="304"/>
        <v>SPS4</v>
      </c>
      <c r="C539" s="5" t="s">
        <v>7</v>
      </c>
      <c r="D539" t="s">
        <v>261</v>
      </c>
      <c r="E539" s="5" t="s">
        <v>240</v>
      </c>
      <c r="F539" s="13">
        <f t="shared" si="324"/>
        <v>0.36265768935530396</v>
      </c>
      <c r="G539" s="13">
        <f t="shared" ref="G539:K539" si="331">IFERROR(G93/SUM(G321,G476),"-")</f>
        <v>0.36306978470371803</v>
      </c>
      <c r="H539" s="13">
        <f t="shared" si="331"/>
        <v>0.36354311970388398</v>
      </c>
      <c r="I539" s="13">
        <f t="shared" si="331"/>
        <v>0.36472344805311663</v>
      </c>
      <c r="J539" s="13">
        <f t="shared" si="331"/>
        <v>0.37495237973004247</v>
      </c>
      <c r="K539" s="13">
        <f t="shared" si="331"/>
        <v>0.38517012682828006</v>
      </c>
    </row>
    <row r="540" spans="1:11" x14ac:dyDescent="0.25">
      <c r="A540" s="5"/>
      <c r="B540" s="5" t="str">
        <f t="shared" si="304"/>
        <v>SPS4</v>
      </c>
      <c r="C540" s="5" t="s">
        <v>7</v>
      </c>
      <c r="D540" t="s">
        <v>262</v>
      </c>
      <c r="E540" s="5" t="s">
        <v>240</v>
      </c>
      <c r="F540" s="13">
        <f t="shared" si="324"/>
        <v>0.35879298970611823</v>
      </c>
      <c r="G540" s="13">
        <f t="shared" ref="G540:K540" si="332">IFERROR(G94/SUM(G322,G477),"-")</f>
        <v>0.35999457867387946</v>
      </c>
      <c r="H540" s="13">
        <f t="shared" si="332"/>
        <v>0.3462712408575902</v>
      </c>
      <c r="I540" s="13">
        <f t="shared" si="332"/>
        <v>0.35163297366458957</v>
      </c>
      <c r="J540" s="13">
        <f t="shared" si="332"/>
        <v>0.3561795444061952</v>
      </c>
      <c r="K540" s="13">
        <f t="shared" si="332"/>
        <v>0.25483103049619077</v>
      </c>
    </row>
    <row r="541" spans="1:11" x14ac:dyDescent="0.25">
      <c r="A541" s="5"/>
      <c r="B541" s="5" t="str">
        <f t="shared" si="304"/>
        <v>SPS4</v>
      </c>
      <c r="C541" s="5" t="s">
        <v>7</v>
      </c>
      <c r="D541" t="s">
        <v>263</v>
      </c>
      <c r="E541" s="5" t="s">
        <v>240</v>
      </c>
      <c r="F541" s="13" t="str">
        <f t="shared" si="324"/>
        <v>-</v>
      </c>
      <c r="G541" s="13" t="str">
        <f t="shared" ref="G541:K541" si="333">IFERROR(G95/SUM(G323,G478),"-")</f>
        <v>-</v>
      </c>
      <c r="H541" s="13" t="str">
        <f t="shared" si="333"/>
        <v>-</v>
      </c>
      <c r="I541" s="13">
        <f t="shared" si="333"/>
        <v>0.60000000000000064</v>
      </c>
      <c r="J541" s="13">
        <f t="shared" si="333"/>
        <v>0.6100000000000001</v>
      </c>
      <c r="K541" s="13">
        <f t="shared" si="333"/>
        <v>0.62000000000000066</v>
      </c>
    </row>
    <row r="542" spans="1:11" x14ac:dyDescent="0.25">
      <c r="B542" s="5" t="str">
        <f t="shared" si="304"/>
        <v>SPS4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0.35745695376016623</v>
      </c>
      <c r="G542" s="13">
        <f t="shared" ref="G542:K542" si="334">IFERROR(G129/G357,"-")</f>
        <v>0.35745695376016645</v>
      </c>
      <c r="H542" s="13">
        <f t="shared" si="334"/>
        <v>0.35745695376016579</v>
      </c>
      <c r="I542" s="13">
        <f t="shared" si="334"/>
        <v>0.35745695376016529</v>
      </c>
      <c r="J542" s="13">
        <f t="shared" si="334"/>
        <v>0.35745695376016623</v>
      </c>
      <c r="K542" s="13">
        <f t="shared" si="334"/>
        <v>0.35745695376016579</v>
      </c>
    </row>
    <row r="543" spans="1:11" x14ac:dyDescent="0.25">
      <c r="B543" s="5" t="str">
        <f t="shared" si="304"/>
        <v>SPS4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5">IFERROR(G130/G358,"-")</f>
        <v>-</v>
      </c>
      <c r="H543" s="13" t="str">
        <f t="shared" si="335"/>
        <v>-</v>
      </c>
      <c r="I543" s="13" t="str">
        <f t="shared" si="335"/>
        <v>-</v>
      </c>
      <c r="J543" s="13" t="str">
        <f t="shared" si="335"/>
        <v>-</v>
      </c>
      <c r="K543" s="13" t="str">
        <f t="shared" si="335"/>
        <v>-</v>
      </c>
    </row>
    <row r="544" spans="1:11" x14ac:dyDescent="0.25">
      <c r="B544" s="5" t="str">
        <f t="shared" si="304"/>
        <v>SPS4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3.8247659647892188E-2</v>
      </c>
      <c r="G544" s="13">
        <f t="shared" ref="G544:K544" si="336">IFERROR(G131/SUM(G359,G426),"-")</f>
        <v>3.7721405777455336E-2</v>
      </c>
      <c r="H544" s="13">
        <f t="shared" si="336"/>
        <v>3.8072391720981549E-2</v>
      </c>
      <c r="I544" s="13">
        <f t="shared" si="336"/>
        <v>3.7695938512889889E-2</v>
      </c>
      <c r="J544" s="13">
        <f t="shared" si="336"/>
        <v>3.7867059556236218E-2</v>
      </c>
      <c r="K544" s="13">
        <f t="shared" si="336"/>
        <v>3.8287419797047709E-2</v>
      </c>
    </row>
    <row r="545" spans="2:11" x14ac:dyDescent="0.25">
      <c r="B545" s="5" t="str">
        <f t="shared" si="304"/>
        <v>SPS4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37">IFERROR(G132/SUM(G360,G427),"-")</f>
        <v>-</v>
      </c>
      <c r="H545" s="13" t="str">
        <f t="shared" si="337"/>
        <v>-</v>
      </c>
      <c r="I545" s="13" t="str">
        <f t="shared" si="337"/>
        <v>-</v>
      </c>
      <c r="J545" s="13" t="str">
        <f t="shared" si="337"/>
        <v>-</v>
      </c>
      <c r="K545" s="13" t="str">
        <f t="shared" si="337"/>
        <v>-</v>
      </c>
    </row>
    <row r="546" spans="2:11" x14ac:dyDescent="0.25">
      <c r="B546" s="5" t="str">
        <f t="shared" si="304"/>
        <v>SPS4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6.1973623787111728E-2</v>
      </c>
      <c r="G546" s="13">
        <f t="shared" ref="G546:K546" si="338">IFERROR(G133/SUM(G361,G502),"-")</f>
        <v>6.1972815918414095E-2</v>
      </c>
      <c r="H546" s="13">
        <f t="shared" si="338"/>
        <v>6.1972650567355327E-2</v>
      </c>
      <c r="I546" s="13">
        <f t="shared" si="338"/>
        <v>6.1972650567355271E-2</v>
      </c>
      <c r="J546" s="13">
        <f t="shared" si="338"/>
        <v>6.1972650567355285E-2</v>
      </c>
      <c r="K546" s="13">
        <f t="shared" si="338"/>
        <v>6.1972650567355236E-2</v>
      </c>
    </row>
    <row r="547" spans="2:11" x14ac:dyDescent="0.25">
      <c r="B547" s="5" t="str">
        <f t="shared" si="304"/>
        <v>SPS4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39">IFERROR(G134/SUM(G362,G503),"-")</f>
        <v>-</v>
      </c>
      <c r="H547" s="13" t="str">
        <f t="shared" si="339"/>
        <v>-</v>
      </c>
      <c r="I547" s="13" t="str">
        <f t="shared" si="339"/>
        <v>-</v>
      </c>
      <c r="J547" s="13" t="str">
        <f t="shared" si="339"/>
        <v>-</v>
      </c>
      <c r="K547" s="13" t="str">
        <f t="shared" si="339"/>
        <v>-</v>
      </c>
    </row>
    <row r="548" spans="2:11" x14ac:dyDescent="0.25">
      <c r="B548" s="5" t="str">
        <f t="shared" si="304"/>
        <v>SPS4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0.24391348426513285</v>
      </c>
      <c r="G548" s="13">
        <f t="shared" ref="G548:K548" si="340">IFERROR(G150/SUM(G378,G435),"-")</f>
        <v>0.25011033002109584</v>
      </c>
      <c r="H548" s="13">
        <f t="shared" si="340"/>
        <v>0.22605983611747582</v>
      </c>
      <c r="I548" s="13">
        <f t="shared" si="340"/>
        <v>0.27300145829260092</v>
      </c>
      <c r="J548" s="13">
        <f t="shared" si="340"/>
        <v>0.30274409397093732</v>
      </c>
      <c r="K548" s="13">
        <f t="shared" si="340"/>
        <v>0.30313350459445676</v>
      </c>
    </row>
    <row r="549" spans="2:11" x14ac:dyDescent="0.25">
      <c r="B549" s="5" t="str">
        <f t="shared" si="304"/>
        <v>SPS4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1">IFERROR(G151/G379,"-")</f>
        <v>-</v>
      </c>
      <c r="H549" s="13" t="str">
        <f t="shared" si="341"/>
        <v>-</v>
      </c>
      <c r="I549" s="13" t="str">
        <f t="shared" si="341"/>
        <v>-</v>
      </c>
      <c r="J549" s="13">
        <f t="shared" si="341"/>
        <v>0</v>
      </c>
      <c r="K549" s="13">
        <f t="shared" si="341"/>
        <v>0</v>
      </c>
    </row>
    <row r="550" spans="2:11" x14ac:dyDescent="0.25">
      <c r="B550" s="5" t="str">
        <f t="shared" si="304"/>
        <v>SPS4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0.19762356617887639</v>
      </c>
      <c r="G550" s="13">
        <f t="shared" ref="G550:K550" si="342">IFERROR(G152/SUM(G380,G511),"-")</f>
        <v>0.22581475997996711</v>
      </c>
      <c r="H550" s="13">
        <f t="shared" si="342"/>
        <v>0.20579310158649208</v>
      </c>
      <c r="I550" s="13">
        <f t="shared" si="342"/>
        <v>0.33848270710806194</v>
      </c>
      <c r="J550" s="13">
        <f t="shared" si="342"/>
        <v>0.35305863783054303</v>
      </c>
      <c r="K550" s="13">
        <f t="shared" si="342"/>
        <v>0.36761975383903367</v>
      </c>
    </row>
    <row r="551" spans="2:11" x14ac:dyDescent="0.25">
      <c r="B551" s="5" t="str">
        <f t="shared" si="304"/>
        <v>SPS4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3">IFERROR(G153/SUM(G381,G512),"-")</f>
        <v>-</v>
      </c>
      <c r="H551" s="13" t="str">
        <f t="shared" si="343"/>
        <v>-</v>
      </c>
      <c r="I551" s="13" t="str">
        <f t="shared" si="343"/>
        <v>-</v>
      </c>
      <c r="J551" s="13">
        <f t="shared" si="343"/>
        <v>0</v>
      </c>
      <c r="K551" s="13">
        <f t="shared" si="343"/>
        <v>0</v>
      </c>
    </row>
    <row r="552" spans="2:11" x14ac:dyDescent="0.25">
      <c r="B552" s="5" t="str">
        <f t="shared" si="304"/>
        <v>SPS4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4">IFERROR(G154/SUM(G382,G513),"-")</f>
        <v>-</v>
      </c>
      <c r="H552" s="13" t="str">
        <f t="shared" si="344"/>
        <v>-</v>
      </c>
      <c r="I552" s="13">
        <f t="shared" si="344"/>
        <v>0.18552610932954552</v>
      </c>
      <c r="J552" s="13">
        <f t="shared" si="344"/>
        <v>0.20756998687452505</v>
      </c>
      <c r="K552" s="13">
        <f t="shared" si="344"/>
        <v>0.21808129317547209</v>
      </c>
    </row>
    <row r="553" spans="2:11" x14ac:dyDescent="0.25">
      <c r="B553" s="5" t="str">
        <f t="shared" si="304"/>
        <v>SPS4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5">IFERROR(G155/SUM(G383,G514),"-")</f>
        <v>-</v>
      </c>
      <c r="H553" s="13" t="str">
        <f t="shared" si="345"/>
        <v>-</v>
      </c>
      <c r="I553" s="13">
        <f t="shared" si="345"/>
        <v>0.23024925563020326</v>
      </c>
      <c r="J553" s="13">
        <f t="shared" si="345"/>
        <v>0.2395667815209741</v>
      </c>
      <c r="K553" s="13">
        <f t="shared" si="345"/>
        <v>0.24921339320581568</v>
      </c>
    </row>
    <row r="554" spans="2:11" x14ac:dyDescent="0.25">
      <c r="B554" s="5" t="str">
        <f t="shared" si="304"/>
        <v>SPS4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46">IFERROR(G156/SUM(G384,G515),"-")</f>
        <v>-</v>
      </c>
      <c r="H554" s="13" t="str">
        <f t="shared" si="346"/>
        <v>-</v>
      </c>
      <c r="I554" s="13">
        <f t="shared" si="346"/>
        <v>0.28126274270599377</v>
      </c>
      <c r="J554" s="13">
        <f t="shared" si="346"/>
        <v>0.29939950097229145</v>
      </c>
      <c r="K554" s="13">
        <f t="shared" si="346"/>
        <v>0.27722279280536166</v>
      </c>
    </row>
    <row r="555" spans="2:11" x14ac:dyDescent="0.25">
      <c r="B555" s="5" t="str">
        <f t="shared" si="304"/>
        <v>SPS4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tr">
        <f t="shared" si="304"/>
        <v>SPS4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tr">
        <f t="shared" si="304"/>
        <v>SPS4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tr">
        <f t="shared" si="304"/>
        <v>SPS4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tr">
        <f t="shared" si="304"/>
        <v>SPS4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tr">
        <f t="shared" si="304"/>
        <v>SPS4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tr">
        <f t="shared" si="304"/>
        <v>SPS4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47">IFERROR(G166/G394,"-")</f>
        <v>-</v>
      </c>
      <c r="H561" s="13" t="str">
        <f t="shared" si="347"/>
        <v>-</v>
      </c>
      <c r="I561" s="13" t="str">
        <f t="shared" si="347"/>
        <v>-</v>
      </c>
      <c r="J561" s="13">
        <f t="shared" si="347"/>
        <v>0.14999999999999977</v>
      </c>
      <c r="K561" s="13">
        <f t="shared" si="347"/>
        <v>0.14999999999999997</v>
      </c>
    </row>
    <row r="562" spans="2:11" x14ac:dyDescent="0.25">
      <c r="B562" s="5" t="str">
        <f t="shared" si="304"/>
        <v>SPS4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48">IFERROR(G168/SUM(G396,G437),"-")</f>
        <v>-</v>
      </c>
      <c r="H562" s="13" t="str">
        <f t="shared" si="348"/>
        <v>-</v>
      </c>
      <c r="I562" s="13" t="str">
        <f t="shared" si="348"/>
        <v>-</v>
      </c>
      <c r="J562" s="13">
        <f t="shared" si="348"/>
        <v>0.41999999999999993</v>
      </c>
      <c r="K562" s="13">
        <f t="shared" si="348"/>
        <v>0.42</v>
      </c>
    </row>
    <row r="563" spans="2:11" x14ac:dyDescent="0.25">
      <c r="B563" s="5" t="str">
        <f t="shared" si="304"/>
        <v>SPS4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49">IFERROR(G169/SUM(G397,G517),"-")</f>
        <v>-</v>
      </c>
      <c r="H563" s="13" t="str">
        <f t="shared" si="349"/>
        <v>-</v>
      </c>
      <c r="I563" s="13">
        <f t="shared" si="349"/>
        <v>0.49500000000000111</v>
      </c>
      <c r="J563" s="13">
        <f t="shared" si="349"/>
        <v>0.54999999999999993</v>
      </c>
      <c r="K563" s="13">
        <f t="shared" si="349"/>
        <v>0.59999999999999976</v>
      </c>
    </row>
    <row r="564" spans="2:11" x14ac:dyDescent="0.25">
      <c r="B564" s="5" t="str">
        <f t="shared" ref="B564:B627" si="350">B563</f>
        <v>SPS4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1">IFERROR(G170/SUM(G398,G518),"-")</f>
        <v>-</v>
      </c>
      <c r="H564" s="13" t="str">
        <f t="shared" si="351"/>
        <v>-</v>
      </c>
      <c r="I564" s="13">
        <f t="shared" si="351"/>
        <v>0.47499999999999981</v>
      </c>
      <c r="J564" s="13">
        <f t="shared" si="351"/>
        <v>0.53978204657542561</v>
      </c>
      <c r="K564" s="13">
        <f t="shared" si="351"/>
        <v>0.57475015277139985</v>
      </c>
    </row>
    <row r="565" spans="2:11" x14ac:dyDescent="0.25">
      <c r="B565" s="5" t="str">
        <f t="shared" si="350"/>
        <v>SPS4</v>
      </c>
      <c r="C565" s="5" t="s">
        <v>7</v>
      </c>
      <c r="D565" t="s">
        <v>286</v>
      </c>
      <c r="E565" s="5" t="s">
        <v>240</v>
      </c>
      <c r="F565" s="13">
        <f t="shared" ref="F565:K571" si="352">IFERROR(F172/F400,"-")</f>
        <v>0.69997823736221021</v>
      </c>
      <c r="G565" s="13">
        <f t="shared" si="352"/>
        <v>0.6998224675133693</v>
      </c>
      <c r="H565" s="13">
        <f t="shared" si="352"/>
        <v>0.69999777809550257</v>
      </c>
      <c r="I565" s="13">
        <f t="shared" si="352"/>
        <v>0.69999540239747893</v>
      </c>
      <c r="J565" s="13">
        <f t="shared" si="352"/>
        <v>0.69992936104679282</v>
      </c>
      <c r="K565" s="13">
        <f t="shared" si="352"/>
        <v>0.69998962741285586</v>
      </c>
    </row>
    <row r="566" spans="2:11" x14ac:dyDescent="0.25">
      <c r="B566" s="5" t="str">
        <f t="shared" si="350"/>
        <v>SPS4</v>
      </c>
      <c r="C566" s="5" t="s">
        <v>7</v>
      </c>
      <c r="D566" t="s">
        <v>287</v>
      </c>
      <c r="E566" s="5" t="s">
        <v>240</v>
      </c>
      <c r="F566" s="13">
        <f t="shared" si="352"/>
        <v>0.86477383770260097</v>
      </c>
      <c r="G566" s="13">
        <f t="shared" si="352"/>
        <v>0.86482241366219603</v>
      </c>
      <c r="H566" s="13">
        <f t="shared" si="352"/>
        <v>0.86701519132940774</v>
      </c>
      <c r="I566" s="13">
        <f t="shared" si="352"/>
        <v>0.86679688313300174</v>
      </c>
      <c r="J566" s="13">
        <f t="shared" si="352"/>
        <v>0.8665770841009468</v>
      </c>
      <c r="K566" s="13">
        <f t="shared" si="352"/>
        <v>0.86703789251070928</v>
      </c>
    </row>
    <row r="567" spans="2:11" x14ac:dyDescent="0.25">
      <c r="B567" s="5" t="str">
        <f t="shared" si="350"/>
        <v>SPS4</v>
      </c>
      <c r="C567" s="5" t="s">
        <v>7</v>
      </c>
      <c r="D567" t="s">
        <v>288</v>
      </c>
      <c r="E567" s="5" t="s">
        <v>240</v>
      </c>
      <c r="F567" s="13">
        <f t="shared" si="352"/>
        <v>0.8941257805656172</v>
      </c>
      <c r="G567" s="13">
        <f t="shared" si="352"/>
        <v>0.89393699293009632</v>
      </c>
      <c r="H567" s="13">
        <f t="shared" si="352"/>
        <v>0.89397113283906648</v>
      </c>
      <c r="I567" s="13">
        <f t="shared" si="352"/>
        <v>0.89416038582735469</v>
      </c>
      <c r="J567" s="13">
        <f t="shared" si="352"/>
        <v>0.89404818896718674</v>
      </c>
      <c r="K567" s="13">
        <f t="shared" si="352"/>
        <v>0.89425272516906407</v>
      </c>
    </row>
    <row r="568" spans="2:11" x14ac:dyDescent="0.25">
      <c r="B568" s="5" t="str">
        <f t="shared" si="350"/>
        <v>SPS4</v>
      </c>
      <c r="C568" s="5" t="s">
        <v>7</v>
      </c>
      <c r="D568" t="s">
        <v>289</v>
      </c>
      <c r="E568" s="5" t="s">
        <v>240</v>
      </c>
      <c r="F568" s="13">
        <f t="shared" si="352"/>
        <v>0.90114312479366931</v>
      </c>
      <c r="G568" s="13">
        <f t="shared" si="352"/>
        <v>0.90089597635624197</v>
      </c>
      <c r="H568" s="13">
        <f t="shared" si="352"/>
        <v>0.90387729003751682</v>
      </c>
      <c r="I568" s="13">
        <f t="shared" si="352"/>
        <v>0.9041668114656386</v>
      </c>
      <c r="J568" s="13">
        <f t="shared" si="352"/>
        <v>0.90420108859844339</v>
      </c>
      <c r="K568" s="13">
        <f t="shared" si="352"/>
        <v>0.9042139517708021</v>
      </c>
    </row>
    <row r="569" spans="2:11" x14ac:dyDescent="0.25">
      <c r="B569" s="5" t="str">
        <f t="shared" si="350"/>
        <v>SPS4</v>
      </c>
      <c r="C569" s="5" t="s">
        <v>7</v>
      </c>
      <c r="D569" t="s">
        <v>1855</v>
      </c>
      <c r="E569" s="5" t="s">
        <v>240</v>
      </c>
      <c r="F569" s="13">
        <f t="shared" si="352"/>
        <v>0.90141889479479986</v>
      </c>
      <c r="G569" s="13">
        <f t="shared" si="352"/>
        <v>0.90128422487847215</v>
      </c>
      <c r="H569" s="13">
        <f t="shared" si="352"/>
        <v>0.90393559964905978</v>
      </c>
      <c r="I569" s="13">
        <f t="shared" si="352"/>
        <v>0.9042658169942478</v>
      </c>
      <c r="J569" s="13">
        <f t="shared" si="352"/>
        <v>0.90426029168612021</v>
      </c>
      <c r="K569" s="13">
        <f t="shared" si="352"/>
        <v>0.9042682034460453</v>
      </c>
    </row>
    <row r="570" spans="2:11" x14ac:dyDescent="0.25">
      <c r="B570" s="5" t="str">
        <f t="shared" si="350"/>
        <v>SPS4</v>
      </c>
      <c r="C570" s="5" t="s">
        <v>7</v>
      </c>
      <c r="D570" t="s">
        <v>290</v>
      </c>
      <c r="E570" s="5" t="s">
        <v>240</v>
      </c>
      <c r="F570" s="13">
        <f t="shared" si="352"/>
        <v>0.90141908008666516</v>
      </c>
      <c r="G570" s="13">
        <f t="shared" si="352"/>
        <v>0.90128043945773639</v>
      </c>
      <c r="H570" s="13">
        <f t="shared" si="352"/>
        <v>0.9040164931988891</v>
      </c>
      <c r="I570" s="13">
        <f t="shared" si="352"/>
        <v>0.90426598277356163</v>
      </c>
      <c r="J570" s="13">
        <f t="shared" si="352"/>
        <v>0.90426668771094887</v>
      </c>
      <c r="K570" s="13">
        <f t="shared" si="352"/>
        <v>0.90426823977867021</v>
      </c>
    </row>
    <row r="571" spans="2:11" x14ac:dyDescent="0.25">
      <c r="B571" s="5" t="str">
        <f t="shared" si="350"/>
        <v>SPS4</v>
      </c>
      <c r="C571" s="5" t="s">
        <v>7</v>
      </c>
      <c r="D571" t="s">
        <v>291</v>
      </c>
      <c r="E571" s="5" t="s">
        <v>240</v>
      </c>
      <c r="F571" s="13">
        <f t="shared" si="352"/>
        <v>0.90115744853481095</v>
      </c>
      <c r="G571" s="13">
        <f t="shared" si="352"/>
        <v>0.90103373839152168</v>
      </c>
      <c r="H571" s="13">
        <f t="shared" si="352"/>
        <v>0.90359099272085253</v>
      </c>
      <c r="I571" s="13">
        <f t="shared" si="352"/>
        <v>0.90416896916169232</v>
      </c>
      <c r="J571" s="13">
        <f t="shared" si="352"/>
        <v>0.90416736099705153</v>
      </c>
      <c r="K571" s="13">
        <f t="shared" si="352"/>
        <v>0.90418476483219312</v>
      </c>
    </row>
    <row r="572" spans="2:11" x14ac:dyDescent="0.25">
      <c r="B572" s="9" t="str">
        <f t="shared" si="350"/>
        <v>SPS4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tr">
        <f t="shared" si="350"/>
        <v>SPS4</v>
      </c>
      <c r="C573" s="5" t="s">
        <v>7</v>
      </c>
      <c r="D573" t="s">
        <v>297</v>
      </c>
      <c r="E573" s="5" t="s">
        <v>240</v>
      </c>
      <c r="F573" s="4">
        <f>IFERROR(F210/F440,"-")</f>
        <v>0.59933765078173795</v>
      </c>
      <c r="G573" s="4">
        <f t="shared" ref="G573:K573" si="353">IFERROR(G210/G440,"-")</f>
        <v>0.85440465947020883</v>
      </c>
      <c r="H573" s="4">
        <f t="shared" si="353"/>
        <v>0.80618152160174672</v>
      </c>
      <c r="I573" s="4">
        <f t="shared" si="353"/>
        <v>0.85391849632572348</v>
      </c>
      <c r="J573" s="4">
        <f t="shared" si="353"/>
        <v>0.59897351310990887</v>
      </c>
      <c r="K573" s="4">
        <f t="shared" si="353"/>
        <v>0.48053885091117543</v>
      </c>
    </row>
    <row r="574" spans="2:11" x14ac:dyDescent="0.25">
      <c r="B574" s="5" t="str">
        <f t="shared" si="350"/>
        <v>SPS4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4">IFERROR(G216/G446,"-")</f>
        <v>1</v>
      </c>
      <c r="H574" s="4">
        <f t="shared" si="354"/>
        <v>1</v>
      </c>
      <c r="I574" s="4">
        <f t="shared" si="354"/>
        <v>1</v>
      </c>
      <c r="J574" s="4" t="str">
        <f t="shared" si="354"/>
        <v>-</v>
      </c>
      <c r="K574" s="4" t="str">
        <f t="shared" si="354"/>
        <v>-</v>
      </c>
    </row>
    <row r="575" spans="2:11" x14ac:dyDescent="0.25">
      <c r="B575" s="5" t="str">
        <f t="shared" si="350"/>
        <v>SPS4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0.85445501111132516</v>
      </c>
      <c r="G575" s="4">
        <f t="shared" ref="G575:K575" si="355">IFERROR(G218/G448,"-")</f>
        <v>0.8544550111113246</v>
      </c>
      <c r="H575" s="4">
        <f t="shared" si="355"/>
        <v>0.85445501111132516</v>
      </c>
      <c r="I575" s="4">
        <f t="shared" si="355"/>
        <v>0.85445501111132449</v>
      </c>
      <c r="J575" s="4">
        <f t="shared" si="355"/>
        <v>0.85445501111132471</v>
      </c>
      <c r="K575" s="4">
        <f t="shared" si="355"/>
        <v>0.85445501111132593</v>
      </c>
    </row>
    <row r="576" spans="2:11" x14ac:dyDescent="0.25">
      <c r="B576" s="5" t="str">
        <f t="shared" si="350"/>
        <v>SPS4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0.69999999999999907</v>
      </c>
      <c r="G576" s="4">
        <f t="shared" ref="G576:K576" si="356">IFERROR(G224/G454,"-")</f>
        <v>0.69999999999999984</v>
      </c>
      <c r="H576" s="4">
        <f t="shared" si="356"/>
        <v>0.7</v>
      </c>
      <c r="I576" s="4">
        <f t="shared" si="356"/>
        <v>0.7</v>
      </c>
      <c r="J576" s="4">
        <f t="shared" si="356"/>
        <v>0.69999999999999962</v>
      </c>
      <c r="K576" s="4">
        <f t="shared" si="356"/>
        <v>0.70000000000000018</v>
      </c>
    </row>
    <row r="577" spans="2:11" x14ac:dyDescent="0.25">
      <c r="B577" s="5" t="str">
        <f t="shared" si="350"/>
        <v>SPS4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57">IFERROR(G226/G456,"-")</f>
        <v>-</v>
      </c>
      <c r="H577" t="str">
        <f t="shared" si="357"/>
        <v>-</v>
      </c>
      <c r="I577">
        <f t="shared" si="357"/>
        <v>1</v>
      </c>
      <c r="J577">
        <f t="shared" si="357"/>
        <v>1</v>
      </c>
      <c r="K577">
        <f t="shared" si="357"/>
        <v>1</v>
      </c>
    </row>
    <row r="578" spans="2:11" x14ac:dyDescent="0.25">
      <c r="B578" s="5" t="str">
        <f t="shared" si="350"/>
        <v>SPS4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58">IFERROR(G228/G458,"-")</f>
        <v>-</v>
      </c>
      <c r="H578" t="str">
        <f t="shared" si="358"/>
        <v>-</v>
      </c>
      <c r="I578" t="str">
        <f t="shared" si="358"/>
        <v>-</v>
      </c>
      <c r="J578">
        <f t="shared" si="358"/>
        <v>0.85000000000000031</v>
      </c>
      <c r="K578">
        <f t="shared" si="358"/>
        <v>0.84999999999999953</v>
      </c>
    </row>
    <row r="579" spans="2:11" x14ac:dyDescent="0.25">
      <c r="B579" s="5" t="str">
        <f t="shared" si="350"/>
        <v>SPS4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59">IFERROR(G230/G460,"-")</f>
        <v>3.0000000000000009</v>
      </c>
      <c r="H579" s="4">
        <f t="shared" si="359"/>
        <v>3.0000000000000036</v>
      </c>
      <c r="I579" s="4">
        <f t="shared" si="359"/>
        <v>2.9999999999999969</v>
      </c>
      <c r="J579" s="4">
        <f t="shared" si="359"/>
        <v>2.9999999999999982</v>
      </c>
      <c r="K579" s="4">
        <f t="shared" si="359"/>
        <v>2.9999999999999991</v>
      </c>
    </row>
    <row r="580" spans="2:11" x14ac:dyDescent="0.25">
      <c r="B580" s="9" t="str">
        <f t="shared" si="350"/>
        <v>SPS4</v>
      </c>
      <c r="C580" s="9" t="s">
        <v>7</v>
      </c>
      <c r="D580" s="2" t="s">
        <v>303</v>
      </c>
      <c r="E580" s="9" t="s">
        <v>8</v>
      </c>
      <c r="F580" s="3">
        <f>[1]Other_transformation!B$5</f>
        <v>0.41221315265564534</v>
      </c>
      <c r="G580" s="3">
        <f>[1]Other_transformation!C$5</f>
        <v>3.0269088072070396E-5</v>
      </c>
      <c r="H580" s="3">
        <f>[1]Other_transformation!D$5</f>
        <v>0.62589832355785147</v>
      </c>
      <c r="I580" s="3">
        <f>[1]Other_transformation!E$5</f>
        <v>3.356130343590736E-4</v>
      </c>
      <c r="J580" s="3">
        <f>[1]Other_transformation!F$5</f>
        <v>2.0188979484626744E-4</v>
      </c>
      <c r="K580" s="3">
        <f>[1]Other_transformation!G$5</f>
        <v>1.2103972488643068E-4</v>
      </c>
    </row>
    <row r="581" spans="2:11" x14ac:dyDescent="0.25">
      <c r="B581" s="5" t="str">
        <f t="shared" si="350"/>
        <v>SPS4</v>
      </c>
      <c r="C581" s="5" t="s">
        <v>7</v>
      </c>
      <c r="D581" t="s">
        <v>903</v>
      </c>
      <c r="E581" s="5" t="s">
        <v>8</v>
      </c>
      <c r="F581" s="1">
        <f>F580</f>
        <v>0.41221315265564534</v>
      </c>
      <c r="G581" s="1">
        <f t="shared" ref="G581:K581" si="360">G580</f>
        <v>3.0269088072070396E-5</v>
      </c>
      <c r="H581" s="1">
        <f t="shared" si="360"/>
        <v>0.62589832355785147</v>
      </c>
      <c r="I581" s="1">
        <f t="shared" si="360"/>
        <v>3.356130343590736E-4</v>
      </c>
      <c r="J581" s="1">
        <f t="shared" si="360"/>
        <v>2.0188979484626744E-4</v>
      </c>
      <c r="K581" s="1">
        <f t="shared" si="360"/>
        <v>1.2103972488643068E-4</v>
      </c>
    </row>
    <row r="582" spans="2:11" x14ac:dyDescent="0.25">
      <c r="B582" s="5" t="str">
        <f t="shared" si="350"/>
        <v>SPS4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0.41221315265564534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3.0269088072070396E-5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0.62589832355785147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3.356130343590736E-4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2.0188979484626744E-4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1.2103972488643068E-4</v>
      </c>
    </row>
    <row r="583" spans="2:11" x14ac:dyDescent="0.25">
      <c r="B583" s="5" t="str">
        <f t="shared" si="350"/>
        <v>SPS4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0</v>
      </c>
    </row>
    <row r="584" spans="2:11" x14ac:dyDescent="0.25">
      <c r="B584" s="9" t="str">
        <f t="shared" si="350"/>
        <v>SPS4</v>
      </c>
      <c r="C584" s="9" t="s">
        <v>7</v>
      </c>
      <c r="D584" s="2" t="s">
        <v>370</v>
      </c>
      <c r="E584" s="9" t="s">
        <v>8</v>
      </c>
      <c r="F584" s="3">
        <f>F585</f>
        <v>0.16076312953570143</v>
      </c>
      <c r="G584" s="3">
        <f t="shared" ref="G584:K584" si="361">G585</f>
        <v>1.1804944348107439E-5</v>
      </c>
      <c r="H584" s="3">
        <f t="shared" si="361"/>
        <v>0.24410034618756146</v>
      </c>
      <c r="I584" s="3">
        <f t="shared" si="361"/>
        <v>1.3088908340003872E-4</v>
      </c>
      <c r="J584" s="3">
        <f t="shared" si="361"/>
        <v>7.8737019990044195E-5</v>
      </c>
      <c r="K584" s="3">
        <f t="shared" si="361"/>
        <v>4.7205492705707897E-5</v>
      </c>
    </row>
    <row r="585" spans="2:11" x14ac:dyDescent="0.25">
      <c r="B585" s="5" t="str">
        <f t="shared" si="350"/>
        <v>SPS4</v>
      </c>
      <c r="C585" s="5" t="s">
        <v>7</v>
      </c>
      <c r="D585" t="s">
        <v>904</v>
      </c>
      <c r="E585" s="5" t="s">
        <v>8</v>
      </c>
      <c r="F585" s="1">
        <f>SUM(F586:F587)</f>
        <v>0.16076312953570143</v>
      </c>
      <c r="G585" s="1">
        <f t="shared" ref="G585:K585" si="362">SUM(G586:G587)</f>
        <v>1.1804944348107439E-5</v>
      </c>
      <c r="H585" s="1">
        <f t="shared" si="362"/>
        <v>0.24410034618756146</v>
      </c>
      <c r="I585" s="1">
        <f t="shared" si="362"/>
        <v>1.3088908340003872E-4</v>
      </c>
      <c r="J585" s="1">
        <f t="shared" si="362"/>
        <v>7.8737019990044195E-5</v>
      </c>
      <c r="K585" s="1">
        <f t="shared" si="362"/>
        <v>4.7205492705707897E-5</v>
      </c>
    </row>
    <row r="586" spans="2:11" x14ac:dyDescent="0.25">
      <c r="B586" s="5" t="str">
        <f t="shared" si="350"/>
        <v>SPS4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0.16076312953570143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1.1804944348107439E-5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0.24410034618756146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1.3088908340003872E-4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7.8737019990044195E-5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4.7205492705707897E-5</v>
      </c>
    </row>
    <row r="587" spans="2:11" x14ac:dyDescent="0.25">
      <c r="B587" s="5" t="str">
        <f t="shared" si="350"/>
        <v>SPS4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</v>
      </c>
    </row>
    <row r="588" spans="2:11" x14ac:dyDescent="0.25">
      <c r="B588" s="9" t="str">
        <f t="shared" si="350"/>
        <v>SPS4</v>
      </c>
      <c r="C588" s="9" t="s">
        <v>7</v>
      </c>
      <c r="D588" s="2" t="s">
        <v>373</v>
      </c>
      <c r="E588" s="9" t="s">
        <v>8</v>
      </c>
      <c r="F588" s="3">
        <f>F589+F592</f>
        <v>1.2032501926018289</v>
      </c>
      <c r="G588" s="3">
        <f t="shared" ref="G588:K588" si="363">G589+G592</f>
        <v>8.8355468082373375E-5</v>
      </c>
      <c r="H588" s="3">
        <f t="shared" si="363"/>
        <v>1.826997206465367</v>
      </c>
      <c r="I588" s="3">
        <f t="shared" si="363"/>
        <v>9.7965444729413527E-4</v>
      </c>
      <c r="J588" s="3">
        <f t="shared" si="363"/>
        <v>5.8931631115625418E-4</v>
      </c>
      <c r="K588" s="3">
        <f t="shared" si="363"/>
        <v>3.5331495694349111E-4</v>
      </c>
    </row>
    <row r="589" spans="2:11" x14ac:dyDescent="0.25">
      <c r="B589" s="5" t="str">
        <f t="shared" si="350"/>
        <v>SPS4</v>
      </c>
      <c r="C589" s="5" t="s">
        <v>7</v>
      </c>
      <c r="D589" t="s">
        <v>905</v>
      </c>
      <c r="E589" s="5" t="s">
        <v>8</v>
      </c>
      <c r="F589" s="1">
        <f>SUM(F590:F591)</f>
        <v>1.1746013784922615</v>
      </c>
      <c r="G589" s="1">
        <f t="shared" ref="G589:K589" si="364">SUM(G590:G591)</f>
        <v>8.6251766461364481E-5</v>
      </c>
      <c r="H589" s="1">
        <f t="shared" si="364"/>
        <v>1.7834972729780965</v>
      </c>
      <c r="I589" s="1">
        <f t="shared" si="364"/>
        <v>9.563293414061796E-4</v>
      </c>
      <c r="J589" s="1">
        <f t="shared" si="364"/>
        <v>5.752849704144386E-4</v>
      </c>
      <c r="K589" s="1">
        <f t="shared" si="364"/>
        <v>3.4490269606388417E-4</v>
      </c>
    </row>
    <row r="590" spans="2:11" x14ac:dyDescent="0.25">
      <c r="B590" s="5" t="str">
        <f t="shared" si="350"/>
        <v>SPS4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1.1746013784922615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8.6251766461364481E-5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1.7834972729780965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9.563293414061796E-4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5.752849704144386E-4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3.4490269606388417E-4</v>
      </c>
    </row>
    <row r="591" spans="2:11" x14ac:dyDescent="0.25">
      <c r="B591" s="5" t="str">
        <f t="shared" si="350"/>
        <v>SPS4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0</v>
      </c>
    </row>
    <row r="592" spans="2:11" x14ac:dyDescent="0.25">
      <c r="B592" s="5" t="str">
        <f t="shared" si="350"/>
        <v>SPS4</v>
      </c>
      <c r="C592" s="5" t="s">
        <v>7</v>
      </c>
      <c r="D592" t="s">
        <v>906</v>
      </c>
      <c r="E592" s="5" t="s">
        <v>8</v>
      </c>
      <c r="F592" s="1">
        <f>SUM(F593:F594)</f>
        <v>2.8648814109567357E-2</v>
      </c>
      <c r="G592" s="1">
        <f t="shared" ref="G592:K592" si="365">SUM(G593:G594)</f>
        <v>2.1037016210088927E-6</v>
      </c>
      <c r="H592" s="1">
        <f t="shared" si="365"/>
        <v>4.3499933487270652E-2</v>
      </c>
      <c r="I592" s="1">
        <f t="shared" si="365"/>
        <v>2.3325105887955594E-5</v>
      </c>
      <c r="J592" s="1">
        <f t="shared" si="365"/>
        <v>1.4031340741815573E-5</v>
      </c>
      <c r="K592" s="1">
        <f t="shared" si="365"/>
        <v>8.4122608796069253E-6</v>
      </c>
    </row>
    <row r="593" spans="2:11" x14ac:dyDescent="0.25">
      <c r="B593" s="5" t="str">
        <f t="shared" si="350"/>
        <v>SPS4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2.8648814109567357E-2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2.1037016210088927E-6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4.3499933487270652E-2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2.3325105887955594E-5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1.4031340741815573E-5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8.4122608796069253E-6</v>
      </c>
    </row>
    <row r="594" spans="2:11" x14ac:dyDescent="0.25">
      <c r="B594" s="5" t="str">
        <f t="shared" si="350"/>
        <v>SPS4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</v>
      </c>
    </row>
    <row r="595" spans="2:11" x14ac:dyDescent="0.25">
      <c r="B595" s="9" t="str">
        <f t="shared" si="350"/>
        <v>SPS4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tr">
        <f t="shared" si="350"/>
        <v>SPS4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0.47619047619047594</v>
      </c>
      <c r="G596" s="4">
        <f t="shared" ref="G596:K597" si="366">IFERROR(SUM(G582,G586)/SUM(G590,G593),"-")</f>
        <v>0.47619047619047661</v>
      </c>
      <c r="H596" s="4">
        <f t="shared" si="366"/>
        <v>0.47619047619047622</v>
      </c>
      <c r="I596" s="4">
        <f t="shared" si="366"/>
        <v>0.47619047619047644</v>
      </c>
      <c r="J596" s="4">
        <f t="shared" si="366"/>
        <v>0.47619047619047639</v>
      </c>
      <c r="K596" s="4">
        <f t="shared" si="366"/>
        <v>0.47619047619047611</v>
      </c>
    </row>
    <row r="597" spans="2:11" x14ac:dyDescent="0.25">
      <c r="B597" s="5" t="str">
        <f t="shared" si="350"/>
        <v>SPS4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6"/>
        <v>-</v>
      </c>
      <c r="H597" s="4" t="str">
        <f t="shared" si="366"/>
        <v>-</v>
      </c>
      <c r="I597" s="4" t="str">
        <f t="shared" si="366"/>
        <v>-</v>
      </c>
      <c r="J597" s="4" t="str">
        <f t="shared" si="366"/>
        <v>-</v>
      </c>
      <c r="K597" s="4" t="str">
        <f t="shared" si="366"/>
        <v>-</v>
      </c>
    </row>
    <row r="598" spans="2:11" x14ac:dyDescent="0.25">
      <c r="B598" s="9" t="str">
        <f t="shared" si="350"/>
        <v>SPS4</v>
      </c>
      <c r="C598" s="9" t="s">
        <v>7</v>
      </c>
      <c r="D598" s="2" t="s">
        <v>376</v>
      </c>
      <c r="E598" s="9" t="s">
        <v>8</v>
      </c>
      <c r="F598" s="1">
        <f>[1]Other_transformation!B$12</f>
        <v>0.17009329261333306</v>
      </c>
      <c r="G598" s="1">
        <f>[1]Other_transformation!C$12</f>
        <v>2.8711525385261338E-5</v>
      </c>
      <c r="H598" s="1">
        <f>[1]Other_transformation!D$12</f>
        <v>0.17009372780576751</v>
      </c>
      <c r="I598" s="1">
        <f>[1]Other_transformation!E$12</f>
        <v>0.11886428823820197</v>
      </c>
      <c r="J598" s="1">
        <f>[1]Other_transformation!F$12</f>
        <v>3.3162656119232667E-5</v>
      </c>
      <c r="K598" s="1">
        <f>[1]Other_transformation!G$12</f>
        <v>1.8116973614934169E-5</v>
      </c>
    </row>
    <row r="599" spans="2:11" x14ac:dyDescent="0.25">
      <c r="B599" s="5" t="str">
        <f t="shared" si="350"/>
        <v>SPS4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0.17009329261333306</v>
      </c>
      <c r="G599" s="1">
        <f t="shared" ref="G599:K599" si="367">SUM(G600:G601)</f>
        <v>2.8711525385261338E-5</v>
      </c>
      <c r="H599" s="1">
        <f t="shared" si="367"/>
        <v>0.17009372780576751</v>
      </c>
      <c r="I599" s="1">
        <f t="shared" si="367"/>
        <v>0.11886428823820197</v>
      </c>
      <c r="J599" s="1">
        <f t="shared" si="367"/>
        <v>3.3162656119232667E-5</v>
      </c>
      <c r="K599" s="1">
        <f t="shared" si="367"/>
        <v>1.8116973614934169E-5</v>
      </c>
    </row>
    <row r="600" spans="2:11" x14ac:dyDescent="0.25">
      <c r="B600" s="5" t="str">
        <f t="shared" si="350"/>
        <v>SPS4</v>
      </c>
      <c r="C600" s="5" t="s">
        <v>7</v>
      </c>
      <c r="D600" t="s">
        <v>2166</v>
      </c>
      <c r="E600" t="str">
        <f t="shared" ref="E600:E601" si="368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0.17009329261333306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2.8711525385261338E-5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0.17009372780576751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0.11886428823820197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3.3162656119232667E-5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1.8116973614934169E-5</v>
      </c>
    </row>
    <row r="601" spans="2:11" x14ac:dyDescent="0.25">
      <c r="B601" s="5" t="str">
        <f t="shared" si="350"/>
        <v>SPS4</v>
      </c>
      <c r="C601" s="5" t="s">
        <v>7</v>
      </c>
      <c r="D601" t="s">
        <v>2167</v>
      </c>
      <c r="E601" t="str">
        <f t="shared" si="368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25">
      <c r="B602" s="9" t="str">
        <f t="shared" si="350"/>
        <v>SPS4</v>
      </c>
      <c r="C602" s="9" t="s">
        <v>7</v>
      </c>
      <c r="D602" s="2" t="s">
        <v>378</v>
      </c>
      <c r="E602" s="9" t="s">
        <v>8</v>
      </c>
      <c r="F602" s="3">
        <f>F603+F606</f>
        <v>0.63444798144773151</v>
      </c>
      <c r="G602" s="3">
        <f t="shared" ref="G602:K602" si="369">G603+G606</f>
        <v>1.0709398968702466E-4</v>
      </c>
      <c r="H602" s="3">
        <f t="shared" si="369"/>
        <v>0.63444960471551304</v>
      </c>
      <c r="I602" s="3">
        <f t="shared" si="369"/>
        <v>0.44336379512849328</v>
      </c>
      <c r="J602" s="3">
        <f t="shared" si="369"/>
        <v>1.2369670732473786E-4</v>
      </c>
      <c r="K602" s="3">
        <f t="shared" si="369"/>
        <v>6.7576311583704453E-5</v>
      </c>
    </row>
    <row r="603" spans="2:11" x14ac:dyDescent="0.25">
      <c r="B603" s="5" t="str">
        <f t="shared" si="350"/>
        <v>SPS4</v>
      </c>
      <c r="C603" s="5" t="s">
        <v>7</v>
      </c>
      <c r="D603" t="s">
        <v>907</v>
      </c>
      <c r="E603" s="5" t="s">
        <v>8</v>
      </c>
      <c r="F603" s="1">
        <f>SUM(F604:F605)</f>
        <v>0.35549498156186554</v>
      </c>
      <c r="G603" s="1">
        <f t="shared" ref="G603:K603" si="370">SUM(G604:G605)</f>
        <v>6.0007088055196127E-5</v>
      </c>
      <c r="H603" s="1">
        <f t="shared" si="370"/>
        <v>0.35549589111405422</v>
      </c>
      <c r="I603" s="1">
        <f t="shared" si="370"/>
        <v>0.24842636241784211</v>
      </c>
      <c r="J603" s="1">
        <f t="shared" si="370"/>
        <v>6.9309951289196271E-5</v>
      </c>
      <c r="K603" s="1">
        <f t="shared" si="370"/>
        <v>3.7864474855212425E-5</v>
      </c>
    </row>
    <row r="604" spans="2:11" x14ac:dyDescent="0.25">
      <c r="B604" s="5" t="str">
        <f t="shared" si="350"/>
        <v>SPS4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0.35549498156186554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6.0007088055196127E-5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0.35549589111405422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0.24842636241784211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6.9309951289196271E-5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3.7864474855212425E-5</v>
      </c>
    </row>
    <row r="605" spans="2:11" x14ac:dyDescent="0.25">
      <c r="B605" s="5" t="str">
        <f t="shared" si="350"/>
        <v>SPS4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25">
      <c r="B606" s="5" t="str">
        <f t="shared" si="350"/>
        <v>SPS4</v>
      </c>
      <c r="C606" s="5" t="s">
        <v>7</v>
      </c>
      <c r="D606" t="s">
        <v>908</v>
      </c>
      <c r="E606" s="5" t="s">
        <v>8</v>
      </c>
      <c r="F606" s="1">
        <f>SUM(F607:F608)</f>
        <v>0.27895299988586603</v>
      </c>
      <c r="G606" s="1">
        <f t="shared" ref="G606:K606" si="371">SUM(G607:G608)</f>
        <v>4.7086901631828534E-5</v>
      </c>
      <c r="H606" s="1">
        <f t="shared" si="371"/>
        <v>0.27895371360145887</v>
      </c>
      <c r="I606" s="1">
        <f t="shared" si="371"/>
        <v>0.19493743271065117</v>
      </c>
      <c r="J606" s="1">
        <f t="shared" si="371"/>
        <v>5.4386756035541576E-5</v>
      </c>
      <c r="K606" s="1">
        <f t="shared" si="371"/>
        <v>2.9711836728492032E-5</v>
      </c>
    </row>
    <row r="607" spans="2:11" x14ac:dyDescent="0.25">
      <c r="B607" s="5" t="str">
        <f t="shared" si="350"/>
        <v>SPS4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0.27895299988586603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4.7086901631828534E-5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0.27895371360145887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0.19493743271065117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5.4386756035541576E-5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2.9711836728492032E-5</v>
      </c>
    </row>
    <row r="608" spans="2:11" x14ac:dyDescent="0.25">
      <c r="B608" s="5" t="str">
        <f t="shared" si="350"/>
        <v>SPS4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25">
      <c r="B609" s="9" t="str">
        <f t="shared" si="350"/>
        <v>SPS4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tr">
        <f t="shared" si="350"/>
        <v>SPS4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0.26809651474530866</v>
      </c>
      <c r="G610">
        <f t="shared" ref="G610:K611" si="372">IFERROR(G600/SUM(G604,G607),"-")</f>
        <v>0.26809651474530866</v>
      </c>
      <c r="H610">
        <f t="shared" si="372"/>
        <v>0.26809651474530821</v>
      </c>
      <c r="I610">
        <f t="shared" si="372"/>
        <v>0.26809651474530838</v>
      </c>
      <c r="J610">
        <f t="shared" si="372"/>
        <v>0.26809651474530827</v>
      </c>
      <c r="K610">
        <f t="shared" si="372"/>
        <v>0.26809651474530827</v>
      </c>
    </row>
    <row r="611" spans="2:11" x14ac:dyDescent="0.25">
      <c r="B611" s="5" t="str">
        <f t="shared" si="350"/>
        <v>SPS4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2"/>
        <v>-</v>
      </c>
      <c r="H611" t="str">
        <f t="shared" si="372"/>
        <v>-</v>
      </c>
      <c r="I611" t="str">
        <f t="shared" si="372"/>
        <v>-</v>
      </c>
      <c r="J611" t="str">
        <f t="shared" si="372"/>
        <v>-</v>
      </c>
      <c r="K611" t="str">
        <f t="shared" si="372"/>
        <v>-</v>
      </c>
    </row>
    <row r="612" spans="2:11" x14ac:dyDescent="0.25">
      <c r="B612" s="5" t="str">
        <f t="shared" si="350"/>
        <v>SPS4</v>
      </c>
      <c r="C612" s="5" t="s">
        <v>7</v>
      </c>
      <c r="D612" s="2" t="s">
        <v>381</v>
      </c>
      <c r="E612" s="9" t="s">
        <v>8</v>
      </c>
      <c r="F612" s="3">
        <f>F613+F614+F619</f>
        <v>6.9573934397893851</v>
      </c>
      <c r="G612" s="3">
        <f t="shared" ref="G612" si="373">G613+G614+G619</f>
        <v>9.3211796443380965</v>
      </c>
      <c r="H612" s="3">
        <f t="shared" ref="H612" si="374">H613+H614+H619</f>
        <v>9.1122236262822724</v>
      </c>
      <c r="I612" s="3">
        <f t="shared" ref="I612" si="375">I613+I614+I619</f>
        <v>10.772250190884048</v>
      </c>
      <c r="J612" s="3">
        <f t="shared" ref="J612" si="376">J613+J614+J619</f>
        <v>12.991292690928283</v>
      </c>
      <c r="K612" s="3">
        <f t="shared" ref="K612" si="377">K613+K614+K619</f>
        <v>14.564206103822716</v>
      </c>
    </row>
    <row r="613" spans="2:11" x14ac:dyDescent="0.25">
      <c r="B613" s="5" t="str">
        <f t="shared" si="350"/>
        <v>SPS4</v>
      </c>
      <c r="C613" s="5" t="s">
        <v>7</v>
      </c>
      <c r="D613" t="s">
        <v>314</v>
      </c>
      <c r="E613" s="5" t="s">
        <v>8</v>
      </c>
      <c r="F613" s="1">
        <f>[1]Other_transformation!B$19</f>
        <v>1.3280018384090568</v>
      </c>
      <c r="G613" s="1">
        <f>[1]Other_transformation!C$19</f>
        <v>3.6839634570192143</v>
      </c>
      <c r="H613" s="1">
        <f>[1]Other_transformation!D$19</f>
        <v>3.6841357721543235</v>
      </c>
      <c r="I613" s="1">
        <f>[1]Other_transformation!E$19</f>
        <v>5.1544352605130239</v>
      </c>
      <c r="J613" s="1">
        <f>[1]Other_transformation!F$19</f>
        <v>7.5462354721393021</v>
      </c>
      <c r="K613" s="1">
        <f>[1]Other_transformation!G$19</f>
        <v>9.4405582957957304</v>
      </c>
    </row>
    <row r="614" spans="2:11" x14ac:dyDescent="0.25">
      <c r="B614" s="5" t="str">
        <f t="shared" si="350"/>
        <v>SPS4</v>
      </c>
      <c r="C614" s="5" t="s">
        <v>7</v>
      </c>
      <c r="D614" t="s">
        <v>909</v>
      </c>
      <c r="E614" s="5" t="s">
        <v>8</v>
      </c>
      <c r="F614" s="1">
        <f>[1]Other_transformation!B$20</f>
        <v>5.6293916013803278</v>
      </c>
      <c r="G614" s="1">
        <f>[1]Other_transformation!C$20</f>
        <v>5.6371660446833429</v>
      </c>
      <c r="H614" s="1">
        <f>[1]Other_transformation!D$20</f>
        <v>5.4279781860745011</v>
      </c>
      <c r="I614" s="1">
        <f>[1]Other_transformation!E$20</f>
        <v>5.6176909514545557</v>
      </c>
      <c r="J614" s="1">
        <f>[1]Other_transformation!F$20</f>
        <v>5.4448398737287054</v>
      </c>
      <c r="K614" s="1">
        <f>[1]Other_transformation!G$20</f>
        <v>5.1234166840592943</v>
      </c>
    </row>
    <row r="615" spans="2:11" x14ac:dyDescent="0.25">
      <c r="B615" s="5" t="str">
        <f t="shared" si="350"/>
        <v>SPS4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5.6293916013803278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5.6371660446833429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5.4279781860745011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5.6176909514545557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5.4446526617341142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5.1231993676369862</v>
      </c>
    </row>
    <row r="616" spans="2:11" x14ac:dyDescent="0.25">
      <c r="B616" s="5" t="str">
        <f t="shared" si="350"/>
        <v>SPS4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tr">
        <f t="shared" si="350"/>
        <v>SPS4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1.8721199459136725E-4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2.1731642230806978E-4</v>
      </c>
    </row>
    <row r="618" spans="2:11" x14ac:dyDescent="0.25">
      <c r="B618" s="5" t="str">
        <f t="shared" si="350"/>
        <v>SPS4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25">
      <c r="B619" s="5" t="str">
        <f t="shared" si="350"/>
        <v>SPS4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5.014263553963916E-5</v>
      </c>
      <c r="H619" s="1">
        <f>[1]Other_transformation!D$21</f>
        <v>1.0966805344786112E-4</v>
      </c>
      <c r="I619" s="1">
        <f>[1]Other_transformation!E$21</f>
        <v>1.2397891646792868E-4</v>
      </c>
      <c r="J619" s="1">
        <f>[1]Other_transformation!F$21</f>
        <v>2.1734506027504169E-4</v>
      </c>
      <c r="K619" s="1">
        <f>[1]Other_transformation!G$21</f>
        <v>2.3112396769120076E-4</v>
      </c>
    </row>
    <row r="620" spans="2:11" x14ac:dyDescent="0.25">
      <c r="B620" s="5" t="str">
        <f t="shared" si="350"/>
        <v>SPS4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5.014263553963916E-5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1.0966805344786112E-4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1.2397891646792868E-4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2.1734506027504169E-4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2.3112396769120076E-4</v>
      </c>
    </row>
    <row r="621" spans="2:11" x14ac:dyDescent="0.25">
      <c r="B621" s="5" t="str">
        <f t="shared" si="350"/>
        <v>SPS4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25">
      <c r="B622" s="5" t="str">
        <f t="shared" si="350"/>
        <v>SPS4</v>
      </c>
      <c r="C622" s="5" t="s">
        <v>7</v>
      </c>
      <c r="D622" s="2" t="s">
        <v>383</v>
      </c>
      <c r="E622" s="9" t="s">
        <v>8</v>
      </c>
      <c r="F622" s="3">
        <f>F623+F624+F629</f>
        <v>0.11258783202760658</v>
      </c>
      <c r="G622" s="3">
        <f t="shared" ref="G622" si="378">G623+G624+G629</f>
        <v>0.11274359326048487</v>
      </c>
      <c r="H622" s="3">
        <f t="shared" ref="H622" si="379">H623+H624+H629</f>
        <v>0.10856283005769701</v>
      </c>
      <c r="I622" s="3">
        <f t="shared" ref="I622" si="380">I623+I624+I629</f>
        <v>0.11235786723204275</v>
      </c>
      <c r="J622" s="3">
        <f t="shared" ref="J622" si="381">J623+J624+J629</f>
        <v>0.10890174703709327</v>
      </c>
      <c r="K622" s="3">
        <f t="shared" ref="K622" si="382">K623+K624+K629</f>
        <v>0.10247323231144742</v>
      </c>
    </row>
    <row r="623" spans="2:11" x14ac:dyDescent="0.25">
      <c r="B623" s="5" t="str">
        <f t="shared" si="350"/>
        <v>SPS4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tr">
        <f t="shared" si="350"/>
        <v>SPS4</v>
      </c>
      <c r="C624" s="5" t="s">
        <v>7</v>
      </c>
      <c r="D624" t="s">
        <v>330</v>
      </c>
      <c r="E624" s="5" t="s">
        <v>8</v>
      </c>
      <c r="F624" s="1">
        <f>SUM(F625:F628)</f>
        <v>0.11258783202760658</v>
      </c>
      <c r="G624" s="1">
        <f t="shared" ref="G624:K624" si="383">SUM(G625:G628)</f>
        <v>0.11274332089366679</v>
      </c>
      <c r="H624" s="1">
        <f t="shared" si="383"/>
        <v>0.10855956372149003</v>
      </c>
      <c r="I624" s="1">
        <f t="shared" si="383"/>
        <v>0.11235381902909114</v>
      </c>
      <c r="J624" s="1">
        <f t="shared" si="383"/>
        <v>0.10889305323468226</v>
      </c>
      <c r="K624" s="1">
        <f t="shared" si="383"/>
        <v>0.10246398735273977</v>
      </c>
    </row>
    <row r="625" spans="2:11" x14ac:dyDescent="0.25">
      <c r="B625" s="5" t="str">
        <f t="shared" si="350"/>
        <v>SPS4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0.11258783202760658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0.11274332089366679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0.10855956372149003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0.11235381902909114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0.10889305323468226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0.10246398735273977</v>
      </c>
    </row>
    <row r="626" spans="2:11" x14ac:dyDescent="0.25">
      <c r="B626" s="5" t="str">
        <f t="shared" si="350"/>
        <v>SPS4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tr">
        <f t="shared" si="350"/>
        <v>SPS4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tr">
        <f t="shared" ref="B628:B691" si="384">B627</f>
        <v>SPS4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tr">
        <f t="shared" si="384"/>
        <v>SPS4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5">SUM(G630:G631)</f>
        <v>2.7236681808974721E-7</v>
      </c>
      <c r="H629" s="1">
        <f t="shared" si="385"/>
        <v>3.2663362069849323E-6</v>
      </c>
      <c r="I629" s="1">
        <f t="shared" si="385"/>
        <v>4.0482029516028612E-6</v>
      </c>
      <c r="J629" s="1">
        <f t="shared" si="385"/>
        <v>8.6938024110016772E-6</v>
      </c>
      <c r="K629" s="1">
        <f t="shared" si="385"/>
        <v>9.2449587076480452E-6</v>
      </c>
    </row>
    <row r="630" spans="2:11" x14ac:dyDescent="0.25">
      <c r="B630" s="5" t="str">
        <f t="shared" si="384"/>
        <v>SPS4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2.7236681808974721E-7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3.2663362069849323E-6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4.0482029516028612E-6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8.6938024110016772E-6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9.2449587076480452E-6</v>
      </c>
    </row>
    <row r="631" spans="2:11" x14ac:dyDescent="0.25">
      <c r="B631" s="5" t="str">
        <f t="shared" si="384"/>
        <v>SPS4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25">
      <c r="B632" s="5" t="str">
        <f t="shared" si="384"/>
        <v>SPS4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6">G633+G634+G639</f>
        <v>6.0171162647566978E-6</v>
      </c>
      <c r="H632" s="3">
        <f t="shared" ref="H632" si="387">H633+H634+H639</f>
        <v>1.3160166413743348E-5</v>
      </c>
      <c r="I632" s="3">
        <f t="shared" ref="I632" si="388">I633+I634+I639</f>
        <v>1.4877469976151449E-5</v>
      </c>
      <c r="J632" s="3">
        <f t="shared" ref="J632" si="389">J633+J634+J639</f>
        <v>2.6081407233005025E-5</v>
      </c>
      <c r="K632" s="3">
        <f t="shared" ref="K632" si="390">K633+K634+K639</f>
        <v>2.7734876122944114E-5</v>
      </c>
    </row>
    <row r="633" spans="2:11" x14ac:dyDescent="0.25">
      <c r="B633" s="5" t="str">
        <f t="shared" si="384"/>
        <v>SPS4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tr">
        <f t="shared" si="384"/>
        <v>SPS4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1">SUM(G635:G638)</f>
        <v>0</v>
      </c>
      <c r="H634" s="1">
        <f t="shared" ref="H634" si="392">SUM(H635:H638)</f>
        <v>0</v>
      </c>
      <c r="I634" s="1">
        <f t="shared" ref="I634" si="393">SUM(I635:I638)</f>
        <v>0</v>
      </c>
      <c r="J634" s="1">
        <f t="shared" ref="J634" si="394">SUM(J635:J638)</f>
        <v>0</v>
      </c>
      <c r="K634" s="1">
        <f t="shared" ref="K634" si="395">SUM(K635:K638)</f>
        <v>0</v>
      </c>
    </row>
    <row r="635" spans="2:11" x14ac:dyDescent="0.25">
      <c r="B635" s="5" t="str">
        <f t="shared" si="384"/>
        <v>SPS4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tr">
        <f t="shared" si="384"/>
        <v>SPS4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tr">
        <f t="shared" si="384"/>
        <v>SPS4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tr">
        <f t="shared" si="384"/>
        <v>SPS4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tr">
        <f t="shared" si="384"/>
        <v>SPS4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6">SUM(G640:G641)</f>
        <v>6.0171162647566978E-6</v>
      </c>
      <c r="H639" s="1">
        <f t="shared" ref="H639" si="397">SUM(H640:H641)</f>
        <v>1.3160166413743348E-5</v>
      </c>
      <c r="I639" s="1">
        <f t="shared" ref="I639" si="398">SUM(I640:I641)</f>
        <v>1.4877469976151449E-5</v>
      </c>
      <c r="J639" s="1">
        <f t="shared" ref="J639" si="399">SUM(J640:J641)</f>
        <v>2.6081407233005025E-5</v>
      </c>
      <c r="K639" s="1">
        <f t="shared" ref="K639" si="400">SUM(K640:K641)</f>
        <v>2.7734876122944114E-5</v>
      </c>
    </row>
    <row r="640" spans="2:11" x14ac:dyDescent="0.25">
      <c r="B640" s="5" t="str">
        <f t="shared" si="384"/>
        <v>SPS4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6.0171162647566978E-6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1.3160166413743348E-5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1.4877469976151449E-5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2.6081407233005025E-5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2.7734876122944114E-5</v>
      </c>
    </row>
    <row r="641" spans="2:11" x14ac:dyDescent="0.25">
      <c r="B641" s="5" t="str">
        <f t="shared" si="384"/>
        <v>SPS4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25">
      <c r="B642" s="5" t="str">
        <f t="shared" si="384"/>
        <v>SPS4</v>
      </c>
      <c r="C642" s="5" t="s">
        <v>7</v>
      </c>
      <c r="D642" s="2" t="s">
        <v>387</v>
      </c>
      <c r="E642" s="9" t="s">
        <v>8</v>
      </c>
      <c r="F642" s="3">
        <f>F643+F644+F649</f>
        <v>13.477422017023276</v>
      </c>
      <c r="G642" s="3">
        <f t="shared" ref="G642" si="401">G643+G644+G649</f>
        <v>20.228907538748444</v>
      </c>
      <c r="H642" s="3">
        <f t="shared" ref="H642" si="402">H643+H644+H649</f>
        <v>19.869797138461013</v>
      </c>
      <c r="I642" s="3">
        <f t="shared" ref="I642" si="403">I643+I644+I649</f>
        <v>24.40107054399116</v>
      </c>
      <c r="J642" s="3">
        <f t="shared" ref="J642" si="404">J643+J644+J649</f>
        <v>30.944485659946572</v>
      </c>
      <c r="K642" s="3">
        <f t="shared" ref="K642" si="405">K643+K644+K649</f>
        <v>35.809594565203859</v>
      </c>
    </row>
    <row r="643" spans="2:11" x14ac:dyDescent="0.25">
      <c r="B643" s="5" t="str">
        <f t="shared" si="384"/>
        <v>SPS4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3.7980852578499009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10.536135487074938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10.536628308361342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14.741684845067212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21.582233450318384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26.999996725975773</v>
      </c>
    </row>
    <row r="644" spans="2:11" x14ac:dyDescent="0.25">
      <c r="B644" s="5" t="str">
        <f t="shared" si="384"/>
        <v>SPS4</v>
      </c>
      <c r="C644" s="5" t="s">
        <v>7</v>
      </c>
      <c r="D644" t="s">
        <v>914</v>
      </c>
      <c r="E644" s="5" t="s">
        <v>8</v>
      </c>
      <c r="F644" s="1">
        <f>SUM(F645:F648)</f>
        <v>9.6793367591733741</v>
      </c>
      <c r="G644" s="1">
        <f t="shared" ref="G644" si="406">SUM(G645:G648)</f>
        <v>9.6927043591155311</v>
      </c>
      <c r="H644" s="1">
        <f t="shared" ref="H644" si="407">SUM(H645:H648)</f>
        <v>9.3330207782275139</v>
      </c>
      <c r="I644" s="1">
        <f t="shared" ref="I644" si="408">SUM(I645:I648)</f>
        <v>9.659218327386716</v>
      </c>
      <c r="J644" s="1">
        <f t="shared" ref="J644" si="409">SUM(J645:J648)</f>
        <v>9.3619587937968181</v>
      </c>
      <c r="K644" s="1">
        <f t="shared" ref="K644" si="410">SUM(K645:K648)</f>
        <v>8.8092858218717023</v>
      </c>
    </row>
    <row r="645" spans="2:11" x14ac:dyDescent="0.25">
      <c r="B645" s="5" t="str">
        <f t="shared" si="384"/>
        <v>SPS4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9.6793367591733741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9.6927043591155311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9.3330207782275139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9.659218327386716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9.3616913480902593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8.8089753698398336</v>
      </c>
    </row>
    <row r="646" spans="2:11" x14ac:dyDescent="0.25">
      <c r="B646" s="5" t="str">
        <f t="shared" si="384"/>
        <v>SPS4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tr">
        <f t="shared" si="384"/>
        <v>SPS4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2.6744570655909606E-4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3.104520318686714E-4</v>
      </c>
    </row>
    <row r="648" spans="2:11" x14ac:dyDescent="0.25">
      <c r="B648" s="5" t="str">
        <f t="shared" si="384"/>
        <v>SPS4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25">
      <c r="B649" s="5" t="str">
        <f t="shared" si="384"/>
        <v>SPS4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1">SUM(G650:G651)</f>
        <v>6.769255797851291E-5</v>
      </c>
      <c r="H649" s="1">
        <f t="shared" ref="H649" si="412">SUM(H650:H651)</f>
        <v>1.4805187215461262E-4</v>
      </c>
      <c r="I649" s="1">
        <f t="shared" ref="I649" si="413">SUM(I650:I651)</f>
        <v>1.6737153723170371E-4</v>
      </c>
      <c r="J649" s="1">
        <f t="shared" ref="J649" si="414">SUM(J650:J651)</f>
        <v>2.9341583137130621E-4</v>
      </c>
      <c r="K649" s="1">
        <f t="shared" ref="K649" si="415">SUM(K650:K651)</f>
        <v>3.1201735638312125E-4</v>
      </c>
    </row>
    <row r="650" spans="2:11" x14ac:dyDescent="0.25">
      <c r="B650" s="5" t="str">
        <f t="shared" si="384"/>
        <v>SPS4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6.769255797851291E-5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1.4805187215461262E-4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1.6737153723170371E-4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2.9341583137130621E-4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3.1201735638312125E-4</v>
      </c>
    </row>
    <row r="651" spans="2:11" x14ac:dyDescent="0.25">
      <c r="B651" s="5" t="str">
        <f t="shared" si="384"/>
        <v>SPS4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25">
      <c r="B652" s="5" t="str">
        <f t="shared" si="384"/>
        <v>SPS4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tr">
        <f t="shared" si="384"/>
        <v>SPS4</v>
      </c>
      <c r="C653" s="5" t="s">
        <v>7</v>
      </c>
      <c r="D653" t="s">
        <v>351</v>
      </c>
      <c r="E653" s="5" t="s">
        <v>8</v>
      </c>
      <c r="F653" s="4">
        <f t="shared" ref="F653:K653" si="416">IFERROR(SUM(F633,F623,F613)/F643,"-")</f>
        <v>0.3496503496503498</v>
      </c>
      <c r="G653" s="4">
        <f t="shared" si="416"/>
        <v>0.34965034965035013</v>
      </c>
      <c r="H653" s="4">
        <f t="shared" si="416"/>
        <v>0.34965034965035041</v>
      </c>
      <c r="I653" s="4">
        <f t="shared" si="416"/>
        <v>0.34965034965035052</v>
      </c>
      <c r="J653" s="4">
        <f t="shared" si="416"/>
        <v>0.34965034965034997</v>
      </c>
      <c r="K653" s="4">
        <f t="shared" si="416"/>
        <v>0.34965034965034986</v>
      </c>
    </row>
    <row r="654" spans="2:11" x14ac:dyDescent="0.25">
      <c r="B654" s="5" t="str">
        <f t="shared" si="384"/>
        <v>SPS4</v>
      </c>
      <c r="C654" s="5" t="s">
        <v>7</v>
      </c>
      <c r="D654" t="s">
        <v>352</v>
      </c>
      <c r="E654" s="5" t="s">
        <v>8</v>
      </c>
      <c r="F654" s="4">
        <f t="shared" ref="F654:K657" si="417">IFERROR(SUM(F635,F625,F615)/F645,"-")</f>
        <v>0.59322033898305093</v>
      </c>
      <c r="G654" s="4">
        <f t="shared" si="417"/>
        <v>0.59322033898305082</v>
      </c>
      <c r="H654" s="4">
        <f t="shared" si="417"/>
        <v>0.59322033898305182</v>
      </c>
      <c r="I654" s="4">
        <f t="shared" si="417"/>
        <v>0.59322033898305104</v>
      </c>
      <c r="J654" s="4">
        <f t="shared" si="417"/>
        <v>0.59322033898305071</v>
      </c>
      <c r="K654" s="4">
        <f t="shared" si="417"/>
        <v>0.59322033898305027</v>
      </c>
    </row>
    <row r="655" spans="2:11" x14ac:dyDescent="0.25">
      <c r="B655" s="5" t="str">
        <f t="shared" si="384"/>
        <v>SPS4</v>
      </c>
      <c r="C655" s="5" t="s">
        <v>7</v>
      </c>
      <c r="D655" t="s">
        <v>353</v>
      </c>
      <c r="E655" s="5" t="s">
        <v>8</v>
      </c>
      <c r="F655" s="4" t="str">
        <f t="shared" si="417"/>
        <v>-</v>
      </c>
      <c r="G655" s="4" t="str">
        <f t="shared" si="417"/>
        <v>-</v>
      </c>
      <c r="H655" s="4" t="str">
        <f t="shared" si="417"/>
        <v>-</v>
      </c>
      <c r="I655" s="4" t="str">
        <f t="shared" si="417"/>
        <v>-</v>
      </c>
      <c r="J655" s="4" t="str">
        <f t="shared" si="417"/>
        <v>-</v>
      </c>
      <c r="K655" s="4" t="str">
        <f t="shared" si="417"/>
        <v>-</v>
      </c>
    </row>
    <row r="656" spans="2:11" x14ac:dyDescent="0.25">
      <c r="B656" s="5" t="str">
        <f t="shared" si="384"/>
        <v>SPS4</v>
      </c>
      <c r="C656" s="5" t="s">
        <v>7</v>
      </c>
      <c r="D656" t="s">
        <v>354</v>
      </c>
      <c r="E656" s="5" t="s">
        <v>8</v>
      </c>
      <c r="F656" s="4" t="str">
        <f t="shared" si="417"/>
        <v>-</v>
      </c>
      <c r="G656" s="4" t="str">
        <f t="shared" si="417"/>
        <v>-</v>
      </c>
      <c r="H656" s="4" t="str">
        <f t="shared" si="417"/>
        <v>-</v>
      </c>
      <c r="I656" s="4" t="str">
        <f t="shared" si="417"/>
        <v>-</v>
      </c>
      <c r="J656" s="4">
        <f t="shared" si="417"/>
        <v>0.70000000000000007</v>
      </c>
      <c r="K656" s="4">
        <f t="shared" si="417"/>
        <v>0.6999999999999994</v>
      </c>
    </row>
    <row r="657" spans="2:11" x14ac:dyDescent="0.25">
      <c r="B657" s="5" t="str">
        <f t="shared" si="384"/>
        <v>SPS4</v>
      </c>
      <c r="C657" s="5" t="s">
        <v>7</v>
      </c>
      <c r="D657" t="s">
        <v>355</v>
      </c>
      <c r="E657" s="5" t="s">
        <v>8</v>
      </c>
      <c r="F657" s="4" t="str">
        <f t="shared" si="417"/>
        <v>-</v>
      </c>
      <c r="G657" s="4" t="str">
        <f t="shared" si="417"/>
        <v>-</v>
      </c>
      <c r="H657" s="4" t="str">
        <f t="shared" si="417"/>
        <v>-</v>
      </c>
      <c r="I657" s="4" t="str">
        <f t="shared" si="417"/>
        <v>-</v>
      </c>
      <c r="J657" s="4" t="str">
        <f t="shared" si="417"/>
        <v>-</v>
      </c>
      <c r="K657" s="4" t="str">
        <f t="shared" si="417"/>
        <v>-</v>
      </c>
    </row>
    <row r="658" spans="2:11" x14ac:dyDescent="0.25">
      <c r="B658" s="5" t="str">
        <f t="shared" si="384"/>
        <v>SPS4</v>
      </c>
      <c r="C658" s="5" t="s">
        <v>7</v>
      </c>
      <c r="D658" t="s">
        <v>356</v>
      </c>
      <c r="E658" s="5" t="s">
        <v>8</v>
      </c>
      <c r="F658" s="4" t="str">
        <f t="shared" ref="F658:K659" si="418">IFERROR(SUM(F640,F630,F620)/F650,"-")</f>
        <v>-</v>
      </c>
      <c r="G658" s="4">
        <f t="shared" si="418"/>
        <v>0.8336532154745635</v>
      </c>
      <c r="H658" s="4">
        <f t="shared" si="418"/>
        <v>0.85169173637268913</v>
      </c>
      <c r="I658" s="4">
        <f t="shared" si="418"/>
        <v>0.85381655542692736</v>
      </c>
      <c r="J658" s="4">
        <f t="shared" si="418"/>
        <v>0.8592592592592595</v>
      </c>
      <c r="K658" s="4">
        <f t="shared" si="418"/>
        <v>0.85925925925925883</v>
      </c>
    </row>
    <row r="659" spans="2:11" x14ac:dyDescent="0.25">
      <c r="B659" s="5" t="str">
        <f t="shared" si="384"/>
        <v>SPS4</v>
      </c>
      <c r="C659" s="5" t="s">
        <v>7</v>
      </c>
      <c r="D659" t="s">
        <v>357</v>
      </c>
      <c r="E659" s="5" t="s">
        <v>8</v>
      </c>
      <c r="F659" s="4" t="str">
        <f t="shared" si="418"/>
        <v>-</v>
      </c>
      <c r="G659" s="4" t="str">
        <f t="shared" si="418"/>
        <v>-</v>
      </c>
      <c r="H659" s="4" t="str">
        <f t="shared" si="418"/>
        <v>-</v>
      </c>
      <c r="I659" s="4" t="str">
        <f t="shared" si="418"/>
        <v>-</v>
      </c>
      <c r="J659" s="4" t="str">
        <f t="shared" si="418"/>
        <v>-</v>
      </c>
      <c r="K659" s="4" t="str">
        <f t="shared" si="418"/>
        <v>-</v>
      </c>
    </row>
    <row r="660" spans="2:11" x14ac:dyDescent="0.25">
      <c r="B660" s="9" t="str">
        <f t="shared" si="384"/>
        <v>SPS4</v>
      </c>
      <c r="C660" s="9" t="s">
        <v>7</v>
      </c>
      <c r="D660" s="2" t="s">
        <v>390</v>
      </c>
      <c r="E660" s="9" t="s">
        <v>8</v>
      </c>
      <c r="F660" s="3">
        <f>SUM(F661,F665,F674)</f>
        <v>3.4758759493762619E-3</v>
      </c>
      <c r="G660" s="3">
        <f t="shared" ref="G660:K660" si="419">SUM(G661,G665,G674)</f>
        <v>4.5982054048362047E-3</v>
      </c>
      <c r="H660" s="3">
        <f t="shared" si="419"/>
        <v>0.23167385735632717</v>
      </c>
      <c r="I660" s="3">
        <f t="shared" si="419"/>
        <v>0.44996613703930127</v>
      </c>
      <c r="J660" s="3">
        <f t="shared" si="419"/>
        <v>3.1724187449989292</v>
      </c>
      <c r="K660" s="3">
        <f t="shared" si="419"/>
        <v>8.3165794231869548</v>
      </c>
    </row>
    <row r="661" spans="2:11" x14ac:dyDescent="0.25">
      <c r="B661" t="str">
        <f t="shared" si="384"/>
        <v>SPS4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3.4758759493762619E-3</v>
      </c>
      <c r="G661" s="1">
        <f>[1]Other_transformation!C$28</f>
        <v>4.5982054048362047E-3</v>
      </c>
      <c r="H661" s="1">
        <f>[1]Other_transformation!D$28</f>
        <v>0.23167385735632717</v>
      </c>
      <c r="I661" s="1">
        <f>[1]Other_transformation!E$28</f>
        <v>0.44656072463533802</v>
      </c>
      <c r="J661" s="1">
        <f>[1]Other_transformation!F$28</f>
        <v>0.95933660464228021</v>
      </c>
      <c r="K661" s="1">
        <f>[1]Other_transformation!G$28</f>
        <v>7.4392427217594728</v>
      </c>
    </row>
    <row r="662" spans="2:11" x14ac:dyDescent="0.25">
      <c r="B662" t="str">
        <f t="shared" si="384"/>
        <v>SPS4</v>
      </c>
      <c r="C662" t="str">
        <f t="shared" ref="C662:C673" si="420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3.4758759493762619E-3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4.5982054048362047E-3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0.23167385735632717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0.44656068196500742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0.87546943156249957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6.5378614659492102</v>
      </c>
    </row>
    <row r="663" spans="2:11" x14ac:dyDescent="0.25">
      <c r="B663" t="str">
        <f t="shared" si="384"/>
        <v>SPS4</v>
      </c>
      <c r="C663" t="str">
        <f t="shared" ref="C663" si="421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4.2670330627763398E-8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8.177992780567607E-2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0.89932024029943902</v>
      </c>
    </row>
    <row r="664" spans="2:11" x14ac:dyDescent="0.25">
      <c r="B664" t="str">
        <f t="shared" si="384"/>
        <v>SPS4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2.087245274104514E-3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2.0610155108231215E-3</v>
      </c>
    </row>
    <row r="665" spans="2:11" x14ac:dyDescent="0.25">
      <c r="B665" t="str">
        <f t="shared" si="384"/>
        <v>SPS4</v>
      </c>
      <c r="C665" t="str">
        <f t="shared" si="420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3.4054124039632691E-3</v>
      </c>
      <c r="J665" s="1">
        <f>SUM([1]Other_transformation!F$29:F$30)</f>
        <v>2.213082140356649</v>
      </c>
      <c r="K665" s="1">
        <f>SUM([1]Other_transformation!G$29:G$30)</f>
        <v>1.2346344484163955E-3</v>
      </c>
    </row>
    <row r="666" spans="2:11" x14ac:dyDescent="0.25">
      <c r="B666" t="str">
        <f t="shared" si="384"/>
        <v>SPS4</v>
      </c>
      <c r="C666" t="str">
        <f t="shared" si="420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3.4054124039632691E-3</v>
      </c>
      <c r="J666" s="1">
        <f>[1]Other_transformation!F$29</f>
        <v>2.213082140356649</v>
      </c>
      <c r="K666" s="1">
        <f>[1]Other_transformation!G$29</f>
        <v>1.2346344484163955E-3</v>
      </c>
    </row>
    <row r="667" spans="2:11" x14ac:dyDescent="0.25">
      <c r="B667" t="str">
        <f t="shared" si="384"/>
        <v>SPS4</v>
      </c>
      <c r="C667" t="str">
        <f t="shared" si="420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</v>
      </c>
    </row>
    <row r="668" spans="2:11" x14ac:dyDescent="0.25">
      <c r="B668" t="str">
        <f t="shared" si="384"/>
        <v>SPS4</v>
      </c>
      <c r="C668" t="str">
        <f t="shared" si="420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2">G665-G671</f>
        <v>0</v>
      </c>
      <c r="H668" s="1">
        <f t="shared" si="422"/>
        <v>0</v>
      </c>
      <c r="I668" s="1">
        <f t="shared" si="422"/>
        <v>2.9299043531710901E-3</v>
      </c>
      <c r="J668" s="1">
        <f t="shared" si="422"/>
        <v>2.2122277156826518</v>
      </c>
      <c r="K668" s="1">
        <f t="shared" si="422"/>
        <v>3.6380121088278603E-4</v>
      </c>
    </row>
    <row r="669" spans="2:11" x14ac:dyDescent="0.25">
      <c r="B669" t="str">
        <f t="shared" si="384"/>
        <v>SPS4</v>
      </c>
      <c r="C669" t="str">
        <f t="shared" si="420"/>
        <v>CH</v>
      </c>
      <c r="D669" t="s">
        <v>607</v>
      </c>
      <c r="E669" s="5" t="s">
        <v>8</v>
      </c>
      <c r="F669" s="1">
        <f t="shared" ref="F669:K669" si="423">F666-F672</f>
        <v>0</v>
      </c>
      <c r="G669" s="1">
        <f t="shared" si="423"/>
        <v>0</v>
      </c>
      <c r="H669" s="1">
        <f t="shared" si="423"/>
        <v>0</v>
      </c>
      <c r="I669" s="1">
        <f t="shared" si="423"/>
        <v>2.9299043531710901E-3</v>
      </c>
      <c r="J669" s="1">
        <f t="shared" si="423"/>
        <v>2.2122277156826518</v>
      </c>
      <c r="K669" s="1">
        <f t="shared" si="423"/>
        <v>3.6380121088278603E-4</v>
      </c>
    </row>
    <row r="670" spans="2:11" x14ac:dyDescent="0.25">
      <c r="B670" t="str">
        <f t="shared" si="384"/>
        <v>SPS4</v>
      </c>
      <c r="C670" t="str">
        <f t="shared" si="420"/>
        <v>CH</v>
      </c>
      <c r="D670" t="s">
        <v>608</v>
      </c>
      <c r="E670" s="5" t="s">
        <v>8</v>
      </c>
      <c r="F670" s="1">
        <f t="shared" ref="F670:K670" si="424">F667-F673</f>
        <v>0</v>
      </c>
      <c r="G670" s="1">
        <f t="shared" si="424"/>
        <v>0</v>
      </c>
      <c r="H670" s="1">
        <f t="shared" si="424"/>
        <v>0</v>
      </c>
      <c r="I670" s="1">
        <f t="shared" si="424"/>
        <v>0</v>
      </c>
      <c r="J670" s="1">
        <f t="shared" si="424"/>
        <v>0</v>
      </c>
      <c r="K670" s="1">
        <f t="shared" si="424"/>
        <v>0</v>
      </c>
    </row>
    <row r="671" spans="2:11" x14ac:dyDescent="0.25">
      <c r="B671" t="str">
        <f t="shared" si="384"/>
        <v>SPS4</v>
      </c>
      <c r="C671" t="str">
        <f t="shared" si="420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5">SUM(G672:G673)</f>
        <v>0</v>
      </c>
      <c r="H671" s="1">
        <f t="shared" si="425"/>
        <v>0</v>
      </c>
      <c r="I671" s="1">
        <f t="shared" si="425"/>
        <v>4.7550805079217881E-4</v>
      </c>
      <c r="J671" s="1">
        <f t="shared" si="425"/>
        <v>8.5442467399740455E-4</v>
      </c>
      <c r="K671" s="1">
        <f t="shared" si="425"/>
        <v>8.7083323753360943E-4</v>
      </c>
    </row>
    <row r="672" spans="2:11" x14ac:dyDescent="0.25">
      <c r="B672" t="str">
        <f t="shared" si="384"/>
        <v>SPS4</v>
      </c>
      <c r="C672" t="str">
        <f t="shared" si="420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4.7550805079217881E-4</v>
      </c>
      <c r="J672" s="1">
        <f>IFERROR([1]Energy_Balances!F$157/([1]Energy_Balances!F$157+[1]Energy_Balances!F$72),0)*J666</f>
        <v>8.5442467399740455E-4</v>
      </c>
      <c r="K672" s="1">
        <f>IFERROR([1]Energy_Balances!G$157/([1]Energy_Balances!G$157+[1]Energy_Balances!G$72),0)*K666</f>
        <v>8.7083323753360943E-4</v>
      </c>
    </row>
    <row r="673" spans="2:11" x14ac:dyDescent="0.25">
      <c r="B673" t="str">
        <f t="shared" si="384"/>
        <v>SPS4</v>
      </c>
      <c r="C673" t="str">
        <f t="shared" si="420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 x14ac:dyDescent="0.25">
      <c r="B674" t="str">
        <f t="shared" si="384"/>
        <v>SPS4</v>
      </c>
      <c r="C674" t="str">
        <f t="shared" ref="C674:C676" si="426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27">SUM(G675:G676)</f>
        <v>0</v>
      </c>
      <c r="H674" s="1">
        <f t="shared" si="427"/>
        <v>0</v>
      </c>
      <c r="I674" s="1">
        <f t="shared" si="427"/>
        <v>0</v>
      </c>
      <c r="J674" s="1">
        <f t="shared" si="427"/>
        <v>0</v>
      </c>
      <c r="K674" s="1">
        <f t="shared" si="427"/>
        <v>0.8761020669790649</v>
      </c>
    </row>
    <row r="675" spans="2:11" x14ac:dyDescent="0.25">
      <c r="B675" t="str">
        <f t="shared" si="384"/>
        <v>SPS4</v>
      </c>
      <c r="C675" t="str">
        <f t="shared" si="426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0.8761020669790649</v>
      </c>
    </row>
    <row r="676" spans="2:11" x14ac:dyDescent="0.25">
      <c r="B676" t="str">
        <f t="shared" si="384"/>
        <v>SPS4</v>
      </c>
      <c r="C676" t="str">
        <f t="shared" si="426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0</v>
      </c>
    </row>
    <row r="677" spans="2:11" x14ac:dyDescent="0.25">
      <c r="B677" s="9" t="str">
        <f t="shared" si="384"/>
        <v>SPS4</v>
      </c>
      <c r="C677" s="9" t="s">
        <v>7</v>
      </c>
      <c r="D677" s="2" t="s">
        <v>406</v>
      </c>
      <c r="E677" s="9" t="s">
        <v>8</v>
      </c>
      <c r="F677" s="3">
        <f>SUM(F678,F682,F684,F693)</f>
        <v>5.0742714589434518E-3</v>
      </c>
      <c r="G677" s="3">
        <f t="shared" ref="G677:K677" si="428">SUM(G678,G682,G684,G693)</f>
        <v>6.6256562029340105E-3</v>
      </c>
      <c r="H677" s="3">
        <f t="shared" si="428"/>
        <v>0.32745421534463215</v>
      </c>
      <c r="I677" s="3">
        <f t="shared" si="428"/>
        <v>0.61620782584309641</v>
      </c>
      <c r="J677" s="3">
        <f t="shared" si="428"/>
        <v>4.1495097808796428</v>
      </c>
      <c r="K677" s="3">
        <f t="shared" si="428"/>
        <v>10.533818435985205</v>
      </c>
    </row>
    <row r="678" spans="2:11" x14ac:dyDescent="0.25">
      <c r="B678" t="str">
        <f t="shared" si="384"/>
        <v>SPS4</v>
      </c>
      <c r="C678" t="str">
        <f>C677</f>
        <v>CH</v>
      </c>
      <c r="D678" t="s">
        <v>921</v>
      </c>
      <c r="E678" s="5" t="s">
        <v>8</v>
      </c>
      <c r="F678" s="1">
        <f>SUM(F679:F681)</f>
        <v>5.0742714589434518E-3</v>
      </c>
      <c r="G678" s="1">
        <f t="shared" ref="G678:K678" si="429">SUM(G679:G681)</f>
        <v>6.6256562029340105E-3</v>
      </c>
      <c r="H678" s="1">
        <f t="shared" si="429"/>
        <v>0.32745421534463215</v>
      </c>
      <c r="I678" s="1">
        <f t="shared" si="429"/>
        <v>0.61172702004840795</v>
      </c>
      <c r="J678" s="1">
        <f t="shared" si="429"/>
        <v>1.2372477089749767</v>
      </c>
      <c r="K678" s="1">
        <f t="shared" si="429"/>
        <v>9.0717948036189338</v>
      </c>
    </row>
    <row r="679" spans="2:11" x14ac:dyDescent="0.25">
      <c r="B679" t="str">
        <f t="shared" si="384"/>
        <v>SPS4</v>
      </c>
      <c r="C679" t="str">
        <f t="shared" ref="C679:C695" si="430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5.0742714589434518E-3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6.6256562029340105E-3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0.32745421534463215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0.61172696159590023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1.1296379762096773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7.973001787742942</v>
      </c>
    </row>
    <row r="680" spans="2:11" x14ac:dyDescent="0.25">
      <c r="B680" t="str">
        <f t="shared" si="384"/>
        <v>SPS4</v>
      </c>
      <c r="C680" t="str">
        <f t="shared" ref="C680" si="431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5.8452507709264996E-8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0.10552248749119486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1.0967320003651699</v>
      </c>
    </row>
    <row r="681" spans="2:11" x14ac:dyDescent="0.25">
      <c r="B681" t="str">
        <f t="shared" si="384"/>
        <v>SPS4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2.087245274104514E-3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2.0610155108231215E-3</v>
      </c>
    </row>
    <row r="682" spans="2:11" x14ac:dyDescent="0.25">
      <c r="B682" t="str">
        <f t="shared" si="384"/>
        <v>SPS4</v>
      </c>
      <c r="C682" t="str">
        <f t="shared" ref="C682:C683" si="432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33">G683</f>
        <v>0</v>
      </c>
      <c r="H682" s="1">
        <f t="shared" si="433"/>
        <v>0</v>
      </c>
      <c r="I682" s="1">
        <f t="shared" si="433"/>
        <v>0</v>
      </c>
      <c r="J682" s="1">
        <f t="shared" si="433"/>
        <v>3.1188722486619197E-4</v>
      </c>
      <c r="K682" s="1">
        <f t="shared" si="433"/>
        <v>2.2900172342479115E-4</v>
      </c>
    </row>
    <row r="683" spans="2:11" x14ac:dyDescent="0.25">
      <c r="B683" t="str">
        <f t="shared" si="384"/>
        <v>SPS4</v>
      </c>
      <c r="C683" t="str">
        <f t="shared" si="432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3.1188722486619197E-4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2.2900172342479115E-4</v>
      </c>
    </row>
    <row r="684" spans="2:11" x14ac:dyDescent="0.25">
      <c r="B684" t="str">
        <f t="shared" si="384"/>
        <v>SPS4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34">SUM(G685:G686)</f>
        <v>0</v>
      </c>
      <c r="H684" s="1">
        <f t="shared" si="434"/>
        <v>0</v>
      </c>
      <c r="I684" s="1">
        <f t="shared" si="434"/>
        <v>4.4808057946885086E-3</v>
      </c>
      <c r="J684" s="1">
        <f t="shared" si="434"/>
        <v>2.9119501846797999</v>
      </c>
      <c r="K684" s="1">
        <f t="shared" si="434"/>
        <v>1.6245190110742061E-3</v>
      </c>
    </row>
    <row r="685" spans="2:11" x14ac:dyDescent="0.25">
      <c r="B685" t="str">
        <f t="shared" si="384"/>
        <v>SPS4</v>
      </c>
      <c r="C685" t="str">
        <f t="shared" si="430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4.4808057946885086E-3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2.9119501846797999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1.6245190110742061E-3</v>
      </c>
    </row>
    <row r="686" spans="2:11" x14ac:dyDescent="0.25">
      <c r="B686" t="str">
        <f t="shared" si="384"/>
        <v>SPS4</v>
      </c>
      <c r="C686" t="str">
        <f t="shared" si="430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</v>
      </c>
    </row>
    <row r="687" spans="2:11" x14ac:dyDescent="0.25">
      <c r="B687" t="str">
        <f t="shared" si="384"/>
        <v>SPS4</v>
      </c>
      <c r="C687" t="str">
        <f t="shared" si="430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35">G684-G690</f>
        <v>0</v>
      </c>
      <c r="H687" s="1">
        <f t="shared" si="435"/>
        <v>0</v>
      </c>
      <c r="I687" s="1">
        <f t="shared" si="435"/>
        <v>3.8551373068040633E-3</v>
      </c>
      <c r="J687" s="1">
        <f t="shared" si="435"/>
        <v>2.910825941687698</v>
      </c>
      <c r="K687" s="1">
        <f t="shared" si="435"/>
        <v>4.7868580379313986E-4</v>
      </c>
    </row>
    <row r="688" spans="2:11" x14ac:dyDescent="0.25">
      <c r="B688" t="str">
        <f t="shared" si="384"/>
        <v>SPS4</v>
      </c>
      <c r="C688" t="str">
        <f t="shared" si="430"/>
        <v>CH</v>
      </c>
      <c r="D688" t="s">
        <v>609</v>
      </c>
      <c r="E688" s="5" t="s">
        <v>8</v>
      </c>
      <c r="F688" s="1">
        <f t="shared" ref="F688:K688" si="436">F685-F691</f>
        <v>0</v>
      </c>
      <c r="G688" s="1">
        <f t="shared" si="436"/>
        <v>0</v>
      </c>
      <c r="H688" s="1">
        <f t="shared" si="436"/>
        <v>0</v>
      </c>
      <c r="I688" s="1">
        <f t="shared" si="436"/>
        <v>3.8551373068040633E-3</v>
      </c>
      <c r="J688" s="1">
        <f t="shared" si="436"/>
        <v>2.910825941687698</v>
      </c>
      <c r="K688" s="1">
        <f t="shared" si="436"/>
        <v>4.7868580379313986E-4</v>
      </c>
    </row>
    <row r="689" spans="2:11" x14ac:dyDescent="0.25">
      <c r="B689" t="str">
        <f t="shared" si="384"/>
        <v>SPS4</v>
      </c>
      <c r="C689" t="str">
        <f t="shared" si="430"/>
        <v>CH</v>
      </c>
      <c r="D689" t="s">
        <v>610</v>
      </c>
      <c r="E689" s="5" t="s">
        <v>8</v>
      </c>
      <c r="F689" s="1">
        <f t="shared" ref="F689:K689" si="437">F686-F692</f>
        <v>0</v>
      </c>
      <c r="G689" s="1">
        <f t="shared" si="437"/>
        <v>0</v>
      </c>
      <c r="H689" s="1">
        <f t="shared" si="437"/>
        <v>0</v>
      </c>
      <c r="I689" s="1">
        <f t="shared" si="437"/>
        <v>0</v>
      </c>
      <c r="J689" s="1">
        <f t="shared" si="437"/>
        <v>0</v>
      </c>
      <c r="K689" s="1">
        <f t="shared" si="437"/>
        <v>0</v>
      </c>
    </row>
    <row r="690" spans="2:11" x14ac:dyDescent="0.25">
      <c r="B690" t="str">
        <f t="shared" si="384"/>
        <v>SPS4</v>
      </c>
      <c r="C690" t="str">
        <f t="shared" si="430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38">SUM(G691:G692)</f>
        <v>0</v>
      </c>
      <c r="H690" s="1">
        <f t="shared" si="438"/>
        <v>0</v>
      </c>
      <c r="I690" s="1">
        <f t="shared" si="438"/>
        <v>6.2566848788444531E-4</v>
      </c>
      <c r="J690" s="1">
        <f t="shared" si="438"/>
        <v>1.1242429921018476E-3</v>
      </c>
      <c r="K690" s="1">
        <f t="shared" si="438"/>
        <v>1.1458332072810662E-3</v>
      </c>
    </row>
    <row r="691" spans="2:11" x14ac:dyDescent="0.25">
      <c r="B691" t="str">
        <f t="shared" si="384"/>
        <v>SPS4</v>
      </c>
      <c r="C691" t="str">
        <f t="shared" si="430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39">IFERROR(G672/G666,0)*G685</f>
        <v>0</v>
      </c>
      <c r="H691" s="1">
        <f t="shared" si="439"/>
        <v>0</v>
      </c>
      <c r="I691" s="1">
        <f t="shared" si="439"/>
        <v>6.2566848788444531E-4</v>
      </c>
      <c r="J691" s="1">
        <f t="shared" si="439"/>
        <v>1.1242429921018476E-3</v>
      </c>
      <c r="K691" s="1">
        <f t="shared" si="439"/>
        <v>1.1458332072810662E-3</v>
      </c>
    </row>
    <row r="692" spans="2:11" x14ac:dyDescent="0.25">
      <c r="B692" t="str">
        <f t="shared" ref="B692:B755" si="440">B691</f>
        <v>SPS4</v>
      </c>
      <c r="C692" t="str">
        <f t="shared" si="430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39"/>
        <v>0</v>
      </c>
      <c r="H692" s="1">
        <f t="shared" si="439"/>
        <v>0</v>
      </c>
      <c r="I692" s="1">
        <f t="shared" si="439"/>
        <v>0</v>
      </c>
      <c r="J692" s="1">
        <f t="shared" si="439"/>
        <v>0</v>
      </c>
      <c r="K692" s="1">
        <f t="shared" si="439"/>
        <v>0</v>
      </c>
    </row>
    <row r="693" spans="2:11" x14ac:dyDescent="0.25">
      <c r="B693" t="str">
        <f t="shared" si="440"/>
        <v>SPS4</v>
      </c>
      <c r="C693" t="str">
        <f t="shared" si="430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1">SUM(G694:G695)</f>
        <v>0</v>
      </c>
      <c r="H693" s="1">
        <f t="shared" si="441"/>
        <v>0</v>
      </c>
      <c r="I693" s="1">
        <f t="shared" si="441"/>
        <v>0</v>
      </c>
      <c r="J693" s="1">
        <f t="shared" si="441"/>
        <v>0</v>
      </c>
      <c r="K693" s="1">
        <f t="shared" si="441"/>
        <v>1.4601701116317738</v>
      </c>
    </row>
    <row r="694" spans="2:11" x14ac:dyDescent="0.25">
      <c r="B694" t="str">
        <f t="shared" si="440"/>
        <v>SPS4</v>
      </c>
      <c r="C694" t="str">
        <f t="shared" si="430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1.4601701116317738</v>
      </c>
    </row>
    <row r="695" spans="2:11" x14ac:dyDescent="0.25">
      <c r="B695" t="str">
        <f t="shared" si="440"/>
        <v>SPS4</v>
      </c>
      <c r="C695" t="str">
        <f t="shared" si="430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0</v>
      </c>
    </row>
    <row r="696" spans="2:11" x14ac:dyDescent="0.25">
      <c r="B696" s="9" t="str">
        <f t="shared" si="440"/>
        <v>SPS4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 t="shared" si="440"/>
        <v>SPS4</v>
      </c>
      <c r="C697" t="str">
        <f t="shared" ref="C697:C703" si="442">C696</f>
        <v>CH</v>
      </c>
      <c r="D697" t="s">
        <v>409</v>
      </c>
      <c r="E697" s="5" t="s">
        <v>240</v>
      </c>
      <c r="F697" s="4">
        <f>IFERROR(F662/F679,"-")</f>
        <v>0.6849999999999995</v>
      </c>
      <c r="G697" s="4">
        <f t="shared" ref="G697:K697" si="443">IFERROR(G662/G679,"-")</f>
        <v>0.69400000000000017</v>
      </c>
      <c r="H697" s="4">
        <f t="shared" si="443"/>
        <v>0.7074999999999998</v>
      </c>
      <c r="I697" s="4">
        <f t="shared" si="443"/>
        <v>0.73000000000000043</v>
      </c>
      <c r="J697" s="4">
        <f t="shared" si="443"/>
        <v>0.77499999999999969</v>
      </c>
      <c r="K697" s="4">
        <f t="shared" si="443"/>
        <v>0.81999999999999973</v>
      </c>
    </row>
    <row r="698" spans="2:11" x14ac:dyDescent="0.25">
      <c r="B698" t="str">
        <f t="shared" si="440"/>
        <v>SPS4</v>
      </c>
      <c r="C698" t="str">
        <f t="shared" si="442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44">IFERROR(G663/G680,"-")</f>
        <v>-</v>
      </c>
      <c r="H698" s="4" t="str">
        <f t="shared" si="444"/>
        <v>-</v>
      </c>
      <c r="I698" s="4">
        <f t="shared" si="444"/>
        <v>0.72999999999999921</v>
      </c>
      <c r="J698" s="4">
        <f t="shared" si="444"/>
        <v>0.77500000000000047</v>
      </c>
      <c r="K698" s="4">
        <f t="shared" si="444"/>
        <v>0.81999999999999973</v>
      </c>
    </row>
    <row r="699" spans="2:11" x14ac:dyDescent="0.25">
      <c r="B699" t="str">
        <f t="shared" si="440"/>
        <v>SPS4</v>
      </c>
      <c r="C699" t="str">
        <f t="shared" si="442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45">IFERROR(G664/SUM(G681,G683),"-")</f>
        <v>-</v>
      </c>
      <c r="H699" s="4" t="str">
        <f t="shared" si="445"/>
        <v>-</v>
      </c>
      <c r="I699" s="4" t="str">
        <f t="shared" si="445"/>
        <v>-</v>
      </c>
      <c r="J699" s="4">
        <f t="shared" si="445"/>
        <v>0.86999999999999988</v>
      </c>
      <c r="K699" s="4">
        <f t="shared" si="445"/>
        <v>0.89999999999999991</v>
      </c>
    </row>
    <row r="700" spans="2:11" x14ac:dyDescent="0.25">
      <c r="B700" t="str">
        <f t="shared" si="440"/>
        <v>SPS4</v>
      </c>
      <c r="C700" t="str">
        <f t="shared" si="442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46">IFERROR(G666/G685,"-")</f>
        <v>-</v>
      </c>
      <c r="H700" s="4" t="str">
        <f t="shared" si="446"/>
        <v>-</v>
      </c>
      <c r="I700" s="4">
        <f t="shared" si="446"/>
        <v>0.76000000000000056</v>
      </c>
      <c r="J700" s="4">
        <f t="shared" si="446"/>
        <v>0.76000000000000034</v>
      </c>
      <c r="K700" s="4">
        <f t="shared" si="446"/>
        <v>0.75999999999999934</v>
      </c>
    </row>
    <row r="701" spans="2:11" x14ac:dyDescent="0.25">
      <c r="B701" t="str">
        <f t="shared" si="440"/>
        <v>SPS4</v>
      </c>
      <c r="C701" t="str">
        <f t="shared" si="442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46"/>
        <v>-</v>
      </c>
      <c r="H701" s="4" t="str">
        <f t="shared" si="446"/>
        <v>-</v>
      </c>
      <c r="I701" s="4" t="str">
        <f t="shared" si="446"/>
        <v>-</v>
      </c>
      <c r="J701" s="4" t="str">
        <f t="shared" si="446"/>
        <v>-</v>
      </c>
      <c r="K701" s="4" t="str">
        <f t="shared" si="446"/>
        <v>-</v>
      </c>
    </row>
    <row r="702" spans="2:11" x14ac:dyDescent="0.25">
      <c r="B702" t="str">
        <f t="shared" si="440"/>
        <v>SPS4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47">IFERROR(G675/G694,"-")</f>
        <v>-</v>
      </c>
      <c r="H702" s="4" t="str">
        <f t="shared" si="447"/>
        <v>-</v>
      </c>
      <c r="I702" s="4" t="str">
        <f t="shared" si="447"/>
        <v>-</v>
      </c>
      <c r="J702" s="4" t="str">
        <f t="shared" si="447"/>
        <v>-</v>
      </c>
      <c r="K702" s="4">
        <f t="shared" si="447"/>
        <v>0.60000000000000042</v>
      </c>
    </row>
    <row r="703" spans="2:11" x14ac:dyDescent="0.25">
      <c r="B703" t="str">
        <f t="shared" si="440"/>
        <v>SPS4</v>
      </c>
      <c r="C703" t="str">
        <f t="shared" si="442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47"/>
        <v>-</v>
      </c>
      <c r="H703" s="4" t="str">
        <f t="shared" si="447"/>
        <v>-</v>
      </c>
      <c r="I703" s="4" t="str">
        <f t="shared" si="447"/>
        <v>-</v>
      </c>
      <c r="J703" s="4" t="str">
        <f t="shared" si="447"/>
        <v>-</v>
      </c>
      <c r="K703" s="4" t="str">
        <f t="shared" si="447"/>
        <v>-</v>
      </c>
    </row>
    <row r="704" spans="2:11" x14ac:dyDescent="0.25">
      <c r="B704" s="9" t="str">
        <f t="shared" si="440"/>
        <v>SPS4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1.1764710821049138</v>
      </c>
      <c r="G704" s="1">
        <f>[1]Other_transformation!C$39</f>
        <v>3.9222018927930589</v>
      </c>
      <c r="H704" s="1">
        <f>[1]Other_transformation!D$39</f>
        <v>3.9220301451256203</v>
      </c>
      <c r="I704" s="1">
        <f>[1]Other_transformation!E$39</f>
        <v>2.4517321758570576</v>
      </c>
      <c r="J704" s="1">
        <f>[1]Other_transformation!F$39</f>
        <v>2.815636811061085</v>
      </c>
      <c r="K704" s="1">
        <f>[1]Other_transformation!G$39</f>
        <v>6.0760891740232985</v>
      </c>
    </row>
    <row r="705" spans="2:11" x14ac:dyDescent="0.25">
      <c r="B705" s="9" t="str">
        <f t="shared" si="440"/>
        <v>SPS4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1.2890707004514259</v>
      </c>
      <c r="G705" s="1">
        <f>[1]Other_transformation!C$38</f>
        <v>4.2975944059828484</v>
      </c>
      <c r="H705" s="1">
        <f>[1]Other_transformation!D$38</f>
        <v>4.2974062204087691</v>
      </c>
      <c r="I705" s="1">
        <f>[1]Other_transformation!E$38</f>
        <v>2.6863865685476465</v>
      </c>
      <c r="J705" s="1">
        <f>[1]Other_transformation!F$38</f>
        <v>3.0851203837134853</v>
      </c>
      <c r="K705" s="1">
        <f>[1]Other_transformation!G$38</f>
        <v>6.657629453628223</v>
      </c>
    </row>
    <row r="706" spans="2:11" x14ac:dyDescent="0.25">
      <c r="B706" s="9" t="str">
        <f t="shared" si="440"/>
        <v>SPS4</v>
      </c>
      <c r="C706" s="9" t="s">
        <v>7</v>
      </c>
      <c r="D706" s="2" t="s">
        <v>426</v>
      </c>
      <c r="E706" s="9" t="s">
        <v>8</v>
      </c>
      <c r="F706" s="14">
        <f t="shared" ref="F706:K706" si="448">F704/F705</f>
        <v>0.91265054871925932</v>
      </c>
      <c r="G706" s="14">
        <f t="shared" si="448"/>
        <v>0.91265054871925766</v>
      </c>
      <c r="H706" s="14">
        <f t="shared" si="448"/>
        <v>0.9126505487192591</v>
      </c>
      <c r="I706" s="14">
        <f t="shared" si="448"/>
        <v>0.91265054871925932</v>
      </c>
      <c r="J706" s="14">
        <f t="shared" si="448"/>
        <v>0.91265054871925955</v>
      </c>
      <c r="K706" s="14">
        <f t="shared" si="448"/>
        <v>0.91265054871925899</v>
      </c>
    </row>
    <row r="707" spans="2:11" x14ac:dyDescent="0.25">
      <c r="B707" s="9" t="str">
        <f t="shared" si="440"/>
        <v>SPS4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5.9796285856296612</v>
      </c>
      <c r="G707" s="17" cm="1">
        <f t="array" ref="G707">SUMPRODUCT(("CT_CWODPLT"=[1]OUT_SyntheticFuels!$C$4:$C$1000)*1,("Var_Fout"=[1]OUT_SyntheticFuels!$B$4:$B$1000)*1,[1]OUT_SyntheticFuels!F$4:F$1000)</f>
        <v>6.9696472783407302</v>
      </c>
      <c r="H707" s="17" cm="1">
        <f t="array" ref="H707">SUMPRODUCT(("CT_CWODPLT"=[1]OUT_SyntheticFuels!$C$4:$C$1000)*1,("Var_Fout"=[1]OUT_SyntheticFuels!$B$4:$B$1000)*1,[1]OUT_SyntheticFuels!G$4:G$1000)</f>
        <v>2.0637909825732237</v>
      </c>
      <c r="I707" s="17" cm="1">
        <f t="array" ref="I707">SUMPRODUCT(("CT_CWODPLT"=[1]OUT_SyntheticFuels!$C$4:$C$1000)*1,("Var_Fout"=[1]OUT_SyntheticFuels!$B$4:$B$1000)*1,[1]OUT_SyntheticFuels!H$4:H$1000)</f>
        <v>3.1968157562484842</v>
      </c>
      <c r="J707" s="17" cm="1">
        <f t="array" ref="J707">SUMPRODUCT(("CT_CWODPLT"=[1]OUT_SyntheticFuels!$C$4:$C$1000)*1,("Var_Fout"=[1]OUT_SyntheticFuels!$B$4:$B$1000)*1,[1]OUT_SyntheticFuels!I$4:I$1000)</f>
        <v>4.8508693674382153</v>
      </c>
      <c r="K707" s="17" cm="1">
        <f t="array" ref="K707">SUMPRODUCT(("CT_CWODPLT"=[1]OUT_SyntheticFuels!$C$4:$C$1000)*1,("Var_Fout"=[1]OUT_SyntheticFuels!$B$4:$B$1000)*1,[1]OUT_SyntheticFuels!J$4:J$1000)</f>
        <v>6.1511208853880905</v>
      </c>
    </row>
    <row r="708" spans="2:11" x14ac:dyDescent="0.25">
      <c r="B708" s="5" t="str">
        <f t="shared" si="440"/>
        <v>SPS4</v>
      </c>
      <c r="C708" s="5" t="str">
        <f>C707</f>
        <v>SPS1</v>
      </c>
      <c r="D708" t="s">
        <v>491</v>
      </c>
      <c r="E708" s="5" t="s">
        <v>8</v>
      </c>
      <c r="F708" s="18">
        <f>F707</f>
        <v>5.9796285856296612</v>
      </c>
      <c r="G708" s="18">
        <f t="shared" ref="G708:K708" si="449">G707</f>
        <v>6.9696472783407302</v>
      </c>
      <c r="H708" s="18">
        <f t="shared" si="449"/>
        <v>2.0637909825732237</v>
      </c>
      <c r="I708" s="18">
        <f t="shared" si="449"/>
        <v>3.1968157562484842</v>
      </c>
      <c r="J708" s="18">
        <f t="shared" si="449"/>
        <v>4.8508693674382153</v>
      </c>
      <c r="K708" s="18">
        <f t="shared" si="449"/>
        <v>6.1511208853880905</v>
      </c>
    </row>
    <row r="709" spans="2:11" x14ac:dyDescent="0.25">
      <c r="B709" s="9" t="str">
        <f t="shared" si="440"/>
        <v>SPS4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7.1186054590829215</v>
      </c>
      <c r="G709" s="17" cm="1">
        <f t="array" ref="G709">SUMPRODUCT(("CT_CWODPLT"=[1]OUT_SyntheticFuels!$C$4:$C$1000)*1,("Var_Fin"=[1]OUT_SyntheticFuels!$B$4:$B$1000)*1,[1]OUT_SyntheticFuels!F$4:F$1000)</f>
        <v>8.2971991408818262</v>
      </c>
      <c r="H709" s="17" cm="1">
        <f t="array" ref="H709">SUMPRODUCT(("CT_CWODPLT"=[1]OUT_SyntheticFuels!$C$4:$C$1000)*1,("Var_Fin"=[1]OUT_SyntheticFuels!$B$4:$B$1000)*1,[1]OUT_SyntheticFuels!G$4:G$1000)</f>
        <v>2.4568940268728827</v>
      </c>
      <c r="I709" s="17" cm="1">
        <f t="array" ref="I709">SUMPRODUCT(("CT_CWODPLT"=[1]OUT_SyntheticFuels!$C$4:$C$1000)*1,("Var_Fin"=[1]OUT_SyntheticFuels!$B$4:$B$1000)*1,[1]OUT_SyntheticFuels!H$4:H$1000)</f>
        <v>3.8057330431529599</v>
      </c>
      <c r="J709" s="17" cm="1">
        <f t="array" ref="J709">SUMPRODUCT(("CT_CWODPLT"=[1]OUT_SyntheticFuels!$C$4:$C$1000)*1,("Var_Fin"=[1]OUT_SyntheticFuels!$B$4:$B$1000)*1,[1]OUT_SyntheticFuels!I$4:I$1000)</f>
        <v>5.7748444850454916</v>
      </c>
      <c r="K709" s="17" cm="1">
        <f t="array" ref="K709">SUMPRODUCT(("CT_CWODPLT"=[1]OUT_SyntheticFuels!$C$4:$C$1000)*1,("Var_Fin"=[1]OUT_SyntheticFuels!$B$4:$B$1000)*1,[1]OUT_SyntheticFuels!J$4:J$1000)</f>
        <v>7.3227629587953489</v>
      </c>
    </row>
    <row r="710" spans="2:11" x14ac:dyDescent="0.25">
      <c r="B710" s="5" t="str">
        <f t="shared" si="440"/>
        <v>SPS4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0">F709</f>
        <v>7.1186054590829215</v>
      </c>
      <c r="G710" s="18">
        <f t="shared" si="450"/>
        <v>8.2971991408818262</v>
      </c>
      <c r="H710" s="18">
        <f t="shared" si="450"/>
        <v>2.4568940268728827</v>
      </c>
      <c r="I710" s="18">
        <f t="shared" si="450"/>
        <v>3.8057330431529599</v>
      </c>
      <c r="J710" s="18">
        <f t="shared" si="450"/>
        <v>5.7748444850454916</v>
      </c>
      <c r="K710" s="18">
        <f t="shared" si="450"/>
        <v>7.3227629587953489</v>
      </c>
    </row>
    <row r="711" spans="2:11" x14ac:dyDescent="0.25">
      <c r="B711" s="9" t="str">
        <f t="shared" si="440"/>
        <v>SPS4</v>
      </c>
      <c r="C711" s="9" t="s">
        <v>6</v>
      </c>
      <c r="D711" s="2" t="s">
        <v>476</v>
      </c>
      <c r="E711" s="9" t="s">
        <v>240</v>
      </c>
      <c r="F711" s="14">
        <f t="shared" ref="F711:K711" si="451">IFERROR(F707/F709,"-")</f>
        <v>0.84000000000000097</v>
      </c>
      <c r="G711" s="14">
        <f t="shared" si="451"/>
        <v>0.83999999999999952</v>
      </c>
      <c r="H711" s="14">
        <f t="shared" si="451"/>
        <v>0.84000000000000086</v>
      </c>
      <c r="I711" s="14">
        <f t="shared" si="451"/>
        <v>0.83999999999999941</v>
      </c>
      <c r="J711" s="14">
        <f t="shared" si="451"/>
        <v>0.84000000000000041</v>
      </c>
      <c r="K711" s="14">
        <f t="shared" si="451"/>
        <v>0.83999999999999964</v>
      </c>
    </row>
    <row r="712" spans="2:11" x14ac:dyDescent="0.25">
      <c r="B712" s="9" t="str">
        <f t="shared" si="440"/>
        <v>SPS4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52">G713+G715</f>
        <v>0</v>
      </c>
      <c r="H712" s="17">
        <f t="shared" si="452"/>
        <v>0</v>
      </c>
      <c r="I712" s="17">
        <f t="shared" si="452"/>
        <v>0</v>
      </c>
      <c r="J712" s="17">
        <f t="shared" si="452"/>
        <v>0</v>
      </c>
      <c r="K712" s="17">
        <f t="shared" si="452"/>
        <v>0</v>
      </c>
    </row>
    <row r="713" spans="2:11" x14ac:dyDescent="0.25">
      <c r="B713" s="5" t="str">
        <f t="shared" si="440"/>
        <v>SPS4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53">G714</f>
        <v>0</v>
      </c>
      <c r="H713" s="18">
        <f t="shared" si="453"/>
        <v>0</v>
      </c>
      <c r="I713" s="18">
        <f t="shared" si="453"/>
        <v>0</v>
      </c>
      <c r="J713" s="18">
        <f t="shared" si="453"/>
        <v>0</v>
      </c>
      <c r="K713" s="18">
        <f t="shared" si="453"/>
        <v>0</v>
      </c>
    </row>
    <row r="714" spans="2:11" x14ac:dyDescent="0.25">
      <c r="B714" s="5" t="str">
        <f t="shared" si="440"/>
        <v>SPS4</v>
      </c>
      <c r="C714" s="5" t="str">
        <f t="shared" ref="B714:C716" si="454">C712</f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 x14ac:dyDescent="0.25">
      <c r="B715" s="5" t="str">
        <f t="shared" si="440"/>
        <v>SPS4</v>
      </c>
      <c r="C715" s="5" t="str">
        <f t="shared" si="454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55">SUM(G716:G718)</f>
        <v>0</v>
      </c>
      <c r="H715" s="18">
        <f t="shared" si="455"/>
        <v>0</v>
      </c>
      <c r="I715" s="18">
        <f t="shared" si="455"/>
        <v>0</v>
      </c>
      <c r="J715" s="18">
        <f t="shared" si="455"/>
        <v>0</v>
      </c>
      <c r="K715" s="18">
        <f t="shared" si="455"/>
        <v>0</v>
      </c>
    </row>
    <row r="716" spans="2:11" x14ac:dyDescent="0.25">
      <c r="B716" s="5" t="str">
        <f t="shared" si="440"/>
        <v>SPS4</v>
      </c>
      <c r="C716" s="5" t="str">
        <f t="shared" si="454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</v>
      </c>
    </row>
    <row r="717" spans="2:11" x14ac:dyDescent="0.25">
      <c r="B717" s="5" t="str">
        <f t="shared" si="440"/>
        <v>SPS4</v>
      </c>
      <c r="C717" s="5" t="str">
        <f t="shared" ref="B717:C719" si="456">C716</f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</v>
      </c>
    </row>
    <row r="718" spans="2:11" x14ac:dyDescent="0.25">
      <c r="B718" s="5" t="str">
        <f t="shared" si="440"/>
        <v>SPS4</v>
      </c>
      <c r="C718" s="5" t="str">
        <f t="shared" si="456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40"/>
        <v>SPS4</v>
      </c>
      <c r="C719" s="9" t="str">
        <f t="shared" si="456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57">G720</f>
        <v>0</v>
      </c>
      <c r="H719" s="17">
        <f t="shared" si="457"/>
        <v>0</v>
      </c>
      <c r="I719" s="17">
        <f t="shared" si="457"/>
        <v>0</v>
      </c>
      <c r="J719" s="17">
        <f t="shared" si="457"/>
        <v>0</v>
      </c>
      <c r="K719" s="17">
        <f t="shared" si="457"/>
        <v>0</v>
      </c>
    </row>
    <row r="720" spans="2:11" x14ac:dyDescent="0.25">
      <c r="B720" s="5" t="str">
        <f t="shared" si="440"/>
        <v>SPS4</v>
      </c>
      <c r="C720" s="5" t="str">
        <f t="shared" ref="C720:C726" si="458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59">SUM(G721,G723)</f>
        <v>0</v>
      </c>
      <c r="H720" s="18">
        <f t="shared" si="459"/>
        <v>0</v>
      </c>
      <c r="I720" s="18">
        <f t="shared" si="459"/>
        <v>0</v>
      </c>
      <c r="J720" s="18">
        <f t="shared" si="459"/>
        <v>0</v>
      </c>
      <c r="K720" s="18">
        <f t="shared" si="459"/>
        <v>0</v>
      </c>
    </row>
    <row r="721" spans="2:13" x14ac:dyDescent="0.25">
      <c r="B721" s="5" t="str">
        <f t="shared" si="440"/>
        <v>SPS4</v>
      </c>
      <c r="C721" s="5" t="str">
        <f t="shared" si="458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0">G722</f>
        <v>0</v>
      </c>
      <c r="H721" s="18">
        <f t="shared" si="460"/>
        <v>0</v>
      </c>
      <c r="I721" s="18">
        <f t="shared" si="460"/>
        <v>0</v>
      </c>
      <c r="J721" s="18">
        <f t="shared" si="460"/>
        <v>0</v>
      </c>
      <c r="K721" s="18">
        <f t="shared" si="460"/>
        <v>0</v>
      </c>
    </row>
    <row r="722" spans="2:13" x14ac:dyDescent="0.25">
      <c r="B722" s="5" t="str">
        <f t="shared" si="440"/>
        <v>SPS4</v>
      </c>
      <c r="C722" s="5" t="str">
        <f t="shared" si="458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 x14ac:dyDescent="0.25">
      <c r="B723" s="5" t="str">
        <f t="shared" si="440"/>
        <v>SPS4</v>
      </c>
      <c r="C723" s="5" t="str">
        <f t="shared" si="458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61">SUM(G724:G726)</f>
        <v>0</v>
      </c>
      <c r="H723" s="18">
        <f t="shared" si="461"/>
        <v>0</v>
      </c>
      <c r="I723" s="18">
        <f t="shared" si="461"/>
        <v>0</v>
      </c>
      <c r="J723" s="18">
        <f t="shared" si="461"/>
        <v>0</v>
      </c>
      <c r="K723" s="18">
        <f t="shared" si="461"/>
        <v>0</v>
      </c>
    </row>
    <row r="724" spans="2:13" x14ac:dyDescent="0.25">
      <c r="B724" s="5" t="str">
        <f t="shared" si="440"/>
        <v>SPS4</v>
      </c>
      <c r="C724" s="5" t="str">
        <f t="shared" si="458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</v>
      </c>
    </row>
    <row r="725" spans="2:13" x14ac:dyDescent="0.25">
      <c r="B725" s="5" t="str">
        <f t="shared" si="440"/>
        <v>SPS4</v>
      </c>
      <c r="C725" s="5" t="str">
        <f t="shared" si="458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</v>
      </c>
    </row>
    <row r="726" spans="2:13" x14ac:dyDescent="0.25">
      <c r="B726" s="5" t="str">
        <f t="shared" si="440"/>
        <v>SPS4</v>
      </c>
      <c r="C726" s="5" t="str">
        <f t="shared" si="458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 t="shared" si="440"/>
        <v>SPS4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 t="shared" si="440"/>
        <v>SPS4</v>
      </c>
      <c r="C728" s="5" t="str">
        <f t="shared" ref="C728:C733" si="462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63">IFERROR(G714/G722,"-")</f>
        <v>-</v>
      </c>
      <c r="H728" s="14" t="str">
        <f t="shared" si="463"/>
        <v>-</v>
      </c>
      <c r="I728" s="14" t="str">
        <f t="shared" si="463"/>
        <v>-</v>
      </c>
      <c r="J728" s="14" t="str">
        <f t="shared" si="463"/>
        <v>-</v>
      </c>
      <c r="K728" s="14" t="str">
        <f t="shared" si="463"/>
        <v>-</v>
      </c>
    </row>
    <row r="729" spans="2:13" x14ac:dyDescent="0.25">
      <c r="B729" s="5" t="str">
        <f t="shared" si="440"/>
        <v>SPS4</v>
      </c>
      <c r="C729" s="5" t="str">
        <f t="shared" si="462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64">IFERROR(G716/G724,"-")</f>
        <v>-</v>
      </c>
      <c r="H729" s="16" t="str">
        <f t="shared" si="464"/>
        <v>-</v>
      </c>
      <c r="I729" s="16" t="str">
        <f t="shared" si="464"/>
        <v>-</v>
      </c>
      <c r="J729" s="16" t="str">
        <f t="shared" si="464"/>
        <v>-</v>
      </c>
      <c r="K729" s="16" t="str">
        <f t="shared" si="464"/>
        <v>-</v>
      </c>
      <c r="L729" s="9"/>
      <c r="M729" s="9"/>
    </row>
    <row r="730" spans="2:13" x14ac:dyDescent="0.25">
      <c r="B730" s="5" t="str">
        <f t="shared" si="440"/>
        <v>SPS4</v>
      </c>
      <c r="C730" s="5" t="str">
        <f t="shared" si="462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65">IFERROR(G717/G725,"-")</f>
        <v>-</v>
      </c>
      <c r="H730" s="16" t="str">
        <f t="shared" si="465"/>
        <v>-</v>
      </c>
      <c r="I730" s="16" t="str">
        <f t="shared" si="465"/>
        <v>-</v>
      </c>
      <c r="J730" s="16" t="str">
        <f t="shared" si="465"/>
        <v>-</v>
      </c>
      <c r="K730" s="16" t="str">
        <f t="shared" si="465"/>
        <v>-</v>
      </c>
      <c r="L730" s="9"/>
      <c r="M730" s="9"/>
    </row>
    <row r="731" spans="2:13" x14ac:dyDescent="0.25">
      <c r="B731" s="5" t="str">
        <f t="shared" si="440"/>
        <v>SPS4</v>
      </c>
      <c r="C731" s="5" t="str">
        <f t="shared" si="462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66">IFERROR(G718/G726,"-")</f>
        <v>-</v>
      </c>
      <c r="H731" s="16" t="str">
        <f t="shared" si="466"/>
        <v>-</v>
      </c>
      <c r="I731" s="16" t="str">
        <f t="shared" si="466"/>
        <v>-</v>
      </c>
      <c r="J731" s="16" t="str">
        <f t="shared" si="466"/>
        <v>-</v>
      </c>
      <c r="K731" s="16" t="str">
        <f t="shared" si="466"/>
        <v>-</v>
      </c>
      <c r="L731" s="9"/>
      <c r="M731" s="9"/>
    </row>
    <row r="732" spans="2:13" x14ac:dyDescent="0.25">
      <c r="B732" s="5" t="str">
        <f t="shared" si="440"/>
        <v>SPS4</v>
      </c>
      <c r="C732" s="5" t="str">
        <f t="shared" si="462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67">G733</f>
        <v>0</v>
      </c>
      <c r="H732" s="17">
        <f t="shared" ref="H732" si="468">H733</f>
        <v>0</v>
      </c>
      <c r="I732" s="17">
        <f t="shared" ref="I732" si="469">I733</f>
        <v>0</v>
      </c>
      <c r="J732" s="17">
        <f t="shared" ref="J732" si="470">J733</f>
        <v>0</v>
      </c>
      <c r="K732" s="17">
        <f t="shared" ref="K732" si="471">K733</f>
        <v>0</v>
      </c>
      <c r="L732" s="9"/>
      <c r="M732" s="9"/>
    </row>
    <row r="733" spans="2:13" x14ac:dyDescent="0.25">
      <c r="B733" s="5" t="str">
        <f t="shared" si="440"/>
        <v>SPS4</v>
      </c>
      <c r="C733" s="5" t="str">
        <f t="shared" si="462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72">SUM(G737,G739)</f>
        <v>0</v>
      </c>
      <c r="H733" s="18">
        <f t="shared" ref="H733" si="473">SUM(H737,H739)</f>
        <v>0</v>
      </c>
      <c r="I733" s="18">
        <f t="shared" ref="I733" si="474">SUM(I737,I739)</f>
        <v>0</v>
      </c>
      <c r="J733" s="18">
        <f t="shared" ref="J733" si="475">SUM(J737,J739)</f>
        <v>0</v>
      </c>
      <c r="K733" s="18">
        <f t="shared" ref="K733" si="476">SUM(K737,K739)</f>
        <v>0</v>
      </c>
      <c r="L733" s="9"/>
      <c r="M733" s="9"/>
    </row>
    <row r="734" spans="2:13" x14ac:dyDescent="0.25">
      <c r="B734" s="5" t="str">
        <f t="shared" si="440"/>
        <v>SPS4</v>
      </c>
      <c r="C734" s="5" t="str">
        <f t="shared" ref="B734:C736" si="477">C733</f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t="e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4" s="18" t="e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4" s="9"/>
      <c r="M734" s="9"/>
    </row>
    <row r="735" spans="2:13" x14ac:dyDescent="0.25">
      <c r="B735" s="5" t="str">
        <f t="shared" si="440"/>
        <v>SPS4</v>
      </c>
      <c r="C735" s="5" t="str">
        <f t="shared" si="47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 t="e">
        <f>J733-J734-J736</f>
        <v>#DIV/0!</v>
      </c>
      <c r="K735" s="18" t="e">
        <f>K733-K734-K736</f>
        <v>#DIV/0!</v>
      </c>
      <c r="L735" s="9"/>
      <c r="M735" s="9"/>
    </row>
    <row r="736" spans="2:13" x14ac:dyDescent="0.25">
      <c r="B736" s="5" t="str">
        <f t="shared" si="440"/>
        <v>SPS4</v>
      </c>
      <c r="C736" s="5" t="str">
        <f t="shared" si="47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t="e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#DIV/0!</v>
      </c>
      <c r="K736" s="18" t="e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#DIV/0!</v>
      </c>
      <c r="L736" s="9"/>
    </row>
    <row r="737" spans="2:13" x14ac:dyDescent="0.25">
      <c r="B737" s="5" t="str">
        <f t="shared" si="440"/>
        <v>SPS4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78">G738</f>
        <v>0</v>
      </c>
      <c r="H737" s="18">
        <f t="shared" ref="H737" si="479">H738</f>
        <v>0</v>
      </c>
      <c r="I737" s="18">
        <f t="shared" ref="I737" si="480">I738</f>
        <v>0</v>
      </c>
      <c r="J737" s="18">
        <f t="shared" ref="J737" si="481">J738</f>
        <v>0</v>
      </c>
      <c r="K737" s="18">
        <f t="shared" ref="K737" si="482">K738</f>
        <v>0</v>
      </c>
      <c r="L737" s="9"/>
    </row>
    <row r="738" spans="2:13" x14ac:dyDescent="0.25">
      <c r="B738" s="5" t="str">
        <f t="shared" si="440"/>
        <v>SPS4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9"/>
    </row>
    <row r="739" spans="2:13" x14ac:dyDescent="0.25">
      <c r="B739" s="5" t="str">
        <f t="shared" si="440"/>
        <v>SPS4</v>
      </c>
      <c r="C739" s="5" t="str">
        <f t="shared" ref="C739:C742" si="483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84">SUM(G740:G742)</f>
        <v>0</v>
      </c>
      <c r="H739" s="18">
        <f t="shared" ref="H739" si="485">SUM(H740:H742)</f>
        <v>0</v>
      </c>
      <c r="I739" s="18">
        <f t="shared" ref="I739" si="486">SUM(I740:I742)</f>
        <v>0</v>
      </c>
      <c r="J739" s="18">
        <f t="shared" ref="J739" si="487">SUM(J740:J742)</f>
        <v>0</v>
      </c>
      <c r="K739" s="18">
        <f t="shared" ref="K739" si="488">SUM(K740:K742)</f>
        <v>0</v>
      </c>
      <c r="L739" s="9"/>
    </row>
    <row r="740" spans="2:13" x14ac:dyDescent="0.25">
      <c r="B740" s="5" t="str">
        <f t="shared" si="440"/>
        <v>SPS4</v>
      </c>
      <c r="C740" s="5" t="str">
        <f t="shared" si="483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</v>
      </c>
      <c r="L740" s="9"/>
    </row>
    <row r="741" spans="2:13" x14ac:dyDescent="0.25">
      <c r="B741" s="5" t="str">
        <f t="shared" si="440"/>
        <v>SPS4</v>
      </c>
      <c r="C741" s="5" t="str">
        <f t="shared" si="483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</v>
      </c>
      <c r="L741" s="9"/>
      <c r="M741" s="9"/>
    </row>
    <row r="742" spans="2:13" x14ac:dyDescent="0.25">
      <c r="B742" s="5" t="str">
        <f t="shared" si="440"/>
        <v>SPS4</v>
      </c>
      <c r="C742" s="5" t="str">
        <f t="shared" si="483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 t="shared" si="440"/>
        <v>SPS4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489">IFERROR(G$734/G$733,0)*G737</f>
        <v>0</v>
      </c>
      <c r="H743" s="18">
        <f t="shared" si="489"/>
        <v>0</v>
      </c>
      <c r="I743" s="18">
        <f t="shared" si="489"/>
        <v>0</v>
      </c>
      <c r="J743" s="18">
        <f t="shared" si="489"/>
        <v>0</v>
      </c>
      <c r="K743" s="18">
        <f t="shared" si="489"/>
        <v>0</v>
      </c>
    </row>
    <row r="744" spans="2:13" x14ac:dyDescent="0.25">
      <c r="B744" s="5" t="str">
        <f t="shared" si="440"/>
        <v>SPS4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490">IFERROR(F$734/F$733,0)*F738</f>
        <v>0</v>
      </c>
      <c r="G744" s="18">
        <f t="shared" si="490"/>
        <v>0</v>
      </c>
      <c r="H744" s="18">
        <f t="shared" si="490"/>
        <v>0</v>
      </c>
      <c r="I744" s="18">
        <f t="shared" si="490"/>
        <v>0</v>
      </c>
      <c r="J744" s="18">
        <f t="shared" si="490"/>
        <v>0</v>
      </c>
      <c r="K744" s="18">
        <f t="shared" si="490"/>
        <v>0</v>
      </c>
    </row>
    <row r="745" spans="2:13" x14ac:dyDescent="0.25">
      <c r="B745" s="5" t="str">
        <f t="shared" si="440"/>
        <v>SPS4</v>
      </c>
      <c r="C745" s="5" t="str">
        <f t="shared" ref="C745:C748" si="491">C744</f>
        <v>CH</v>
      </c>
      <c r="D745" t="s">
        <v>935</v>
      </c>
      <c r="E745" s="5" t="s">
        <v>442</v>
      </c>
      <c r="F745" s="18">
        <f t="shared" ref="F745:K745" si="492">IFERROR(F$734/F$733,0)*F739</f>
        <v>0</v>
      </c>
      <c r="G745" s="18">
        <f t="shared" si="492"/>
        <v>0</v>
      </c>
      <c r="H745" s="18">
        <f t="shared" si="492"/>
        <v>0</v>
      </c>
      <c r="I745" s="18">
        <f t="shared" si="492"/>
        <v>0</v>
      </c>
      <c r="J745" s="18">
        <f t="shared" si="492"/>
        <v>0</v>
      </c>
      <c r="K745" s="18">
        <f t="shared" si="492"/>
        <v>0</v>
      </c>
    </row>
    <row r="746" spans="2:13" x14ac:dyDescent="0.25">
      <c r="B746" s="5" t="str">
        <f t="shared" si="440"/>
        <v>SPS4</v>
      </c>
      <c r="C746" s="5" t="str">
        <f t="shared" si="491"/>
        <v>CH</v>
      </c>
      <c r="D746" t="s">
        <v>457</v>
      </c>
      <c r="E746" s="5" t="s">
        <v>442</v>
      </c>
      <c r="F746" s="18">
        <f t="shared" ref="F746:K746" si="493">IFERROR(F$734/F$733,0)*F740</f>
        <v>0</v>
      </c>
      <c r="G746" s="18">
        <f t="shared" si="493"/>
        <v>0</v>
      </c>
      <c r="H746" s="18">
        <f t="shared" si="493"/>
        <v>0</v>
      </c>
      <c r="I746" s="18">
        <f t="shared" si="493"/>
        <v>0</v>
      </c>
      <c r="J746" s="18">
        <f t="shared" si="493"/>
        <v>0</v>
      </c>
      <c r="K746" s="18">
        <f t="shared" si="493"/>
        <v>0</v>
      </c>
    </row>
    <row r="747" spans="2:13" x14ac:dyDescent="0.25">
      <c r="B747" s="5" t="str">
        <f t="shared" si="440"/>
        <v>SPS4</v>
      </c>
      <c r="C747" s="5" t="str">
        <f t="shared" si="491"/>
        <v>CH</v>
      </c>
      <c r="D747" t="s">
        <v>458</v>
      </c>
      <c r="E747" s="5" t="s">
        <v>442</v>
      </c>
      <c r="F747" s="18">
        <f t="shared" ref="F747:K747" si="494">IFERROR(F$734/F$733,0)*F741</f>
        <v>0</v>
      </c>
      <c r="G747" s="18">
        <f t="shared" si="494"/>
        <v>0</v>
      </c>
      <c r="H747" s="18">
        <f t="shared" si="494"/>
        <v>0</v>
      </c>
      <c r="I747" s="18">
        <f t="shared" si="494"/>
        <v>0</v>
      </c>
      <c r="J747" s="18">
        <f t="shared" si="494"/>
        <v>0</v>
      </c>
      <c r="K747" s="18">
        <f t="shared" si="494"/>
        <v>0</v>
      </c>
    </row>
    <row r="748" spans="2:13" x14ac:dyDescent="0.25">
      <c r="B748" s="5" t="str">
        <f t="shared" si="440"/>
        <v>SPS4</v>
      </c>
      <c r="C748" s="5" t="str">
        <f t="shared" si="491"/>
        <v>CH</v>
      </c>
      <c r="D748" t="s">
        <v>459</v>
      </c>
      <c r="E748" s="5" t="s">
        <v>442</v>
      </c>
      <c r="F748" s="18">
        <f t="shared" ref="F748:K748" si="495">IFERROR(F$734/F$733,0)*F742</f>
        <v>0</v>
      </c>
      <c r="G748" s="18">
        <f t="shared" si="495"/>
        <v>0</v>
      </c>
      <c r="H748" s="18">
        <f t="shared" si="495"/>
        <v>0</v>
      </c>
      <c r="I748" s="18">
        <f t="shared" si="495"/>
        <v>0</v>
      </c>
      <c r="J748" s="18">
        <f t="shared" si="495"/>
        <v>0</v>
      </c>
      <c r="K748" s="18">
        <f t="shared" si="495"/>
        <v>0</v>
      </c>
    </row>
    <row r="749" spans="2:13" x14ac:dyDescent="0.25">
      <c r="B749" s="5" t="str">
        <f t="shared" si="440"/>
        <v>SPS4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496">IFERROR(G$735/G$733,0)*G737</f>
        <v>0</v>
      </c>
      <c r="H749" s="18">
        <f t="shared" si="496"/>
        <v>0</v>
      </c>
      <c r="I749" s="18">
        <f t="shared" si="496"/>
        <v>0</v>
      </c>
      <c r="J749" s="18">
        <f t="shared" si="496"/>
        <v>0</v>
      </c>
      <c r="K749" s="18">
        <f t="shared" si="496"/>
        <v>0</v>
      </c>
    </row>
    <row r="750" spans="2:13" x14ac:dyDescent="0.25">
      <c r="B750" s="5" t="str">
        <f t="shared" si="440"/>
        <v>SPS4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497">IFERROR(F$735/F$733,0)*F738</f>
        <v>0</v>
      </c>
      <c r="G750" s="18">
        <f t="shared" si="497"/>
        <v>0</v>
      </c>
      <c r="H750" s="18">
        <f t="shared" si="497"/>
        <v>0</v>
      </c>
      <c r="I750" s="18">
        <f t="shared" si="497"/>
        <v>0</v>
      </c>
      <c r="J750" s="18">
        <f t="shared" si="497"/>
        <v>0</v>
      </c>
      <c r="K750" s="18">
        <f t="shared" si="497"/>
        <v>0</v>
      </c>
    </row>
    <row r="751" spans="2:13" x14ac:dyDescent="0.25">
      <c r="B751" s="5" t="str">
        <f t="shared" si="440"/>
        <v>SPS4</v>
      </c>
      <c r="C751" s="5" t="str">
        <f t="shared" ref="C751:C754" si="498">C750</f>
        <v>CH</v>
      </c>
      <c r="D751" t="s">
        <v>937</v>
      </c>
      <c r="E751" s="5" t="s">
        <v>442</v>
      </c>
      <c r="F751" s="18">
        <f t="shared" ref="F751:K751" si="499">IFERROR(F$735/F$733,0)*F739</f>
        <v>0</v>
      </c>
      <c r="G751" s="18">
        <f t="shared" si="499"/>
        <v>0</v>
      </c>
      <c r="H751" s="18">
        <f t="shared" si="499"/>
        <v>0</v>
      </c>
      <c r="I751" s="18">
        <f t="shared" si="499"/>
        <v>0</v>
      </c>
      <c r="J751" s="18">
        <f t="shared" si="499"/>
        <v>0</v>
      </c>
      <c r="K751" s="18">
        <f t="shared" si="499"/>
        <v>0</v>
      </c>
    </row>
    <row r="752" spans="2:13" x14ac:dyDescent="0.25">
      <c r="B752" s="5" t="str">
        <f t="shared" si="440"/>
        <v>SPS4</v>
      </c>
      <c r="C752" s="5" t="str">
        <f t="shared" si="498"/>
        <v>CH</v>
      </c>
      <c r="D752" t="s">
        <v>461</v>
      </c>
      <c r="E752" s="5" t="s">
        <v>442</v>
      </c>
      <c r="F752" s="18">
        <f t="shared" ref="F752:K752" si="500">IFERROR(F$735/F$733,0)*F740</f>
        <v>0</v>
      </c>
      <c r="G752" s="18">
        <f t="shared" si="500"/>
        <v>0</v>
      </c>
      <c r="H752" s="18">
        <f t="shared" si="500"/>
        <v>0</v>
      </c>
      <c r="I752" s="18">
        <f t="shared" si="500"/>
        <v>0</v>
      </c>
      <c r="J752" s="18">
        <f t="shared" si="500"/>
        <v>0</v>
      </c>
      <c r="K752" s="18">
        <f t="shared" si="500"/>
        <v>0</v>
      </c>
    </row>
    <row r="753" spans="2:13" x14ac:dyDescent="0.25">
      <c r="B753" s="5" t="str">
        <f t="shared" si="440"/>
        <v>SPS4</v>
      </c>
      <c r="C753" s="5" t="str">
        <f t="shared" si="498"/>
        <v>CH</v>
      </c>
      <c r="D753" t="s">
        <v>462</v>
      </c>
      <c r="E753" s="5" t="s">
        <v>442</v>
      </c>
      <c r="F753" s="18">
        <f t="shared" ref="F753:K753" si="501">IFERROR(F$735/F$733,0)*F741</f>
        <v>0</v>
      </c>
      <c r="G753" s="18">
        <f t="shared" si="501"/>
        <v>0</v>
      </c>
      <c r="H753" s="18">
        <f t="shared" si="501"/>
        <v>0</v>
      </c>
      <c r="I753" s="18">
        <f t="shared" si="501"/>
        <v>0</v>
      </c>
      <c r="J753" s="18">
        <f t="shared" si="501"/>
        <v>0</v>
      </c>
      <c r="K753" s="18">
        <f t="shared" si="501"/>
        <v>0</v>
      </c>
    </row>
    <row r="754" spans="2:13" x14ac:dyDescent="0.25">
      <c r="B754" s="5" t="str">
        <f t="shared" si="440"/>
        <v>SPS4</v>
      </c>
      <c r="C754" s="5" t="str">
        <f t="shared" si="498"/>
        <v>CH</v>
      </c>
      <c r="D754" t="s">
        <v>463</v>
      </c>
      <c r="E754" s="5" t="s">
        <v>442</v>
      </c>
      <c r="F754" s="18">
        <f t="shared" ref="F754:K754" si="502">IFERROR(F$735/F$733,0)*F742</f>
        <v>0</v>
      </c>
      <c r="G754" s="18">
        <f t="shared" si="502"/>
        <v>0</v>
      </c>
      <c r="H754" s="18">
        <f t="shared" si="502"/>
        <v>0</v>
      </c>
      <c r="I754" s="18">
        <f t="shared" si="502"/>
        <v>0</v>
      </c>
      <c r="J754" s="18">
        <f t="shared" si="502"/>
        <v>0</v>
      </c>
      <c r="K754" s="18">
        <f t="shared" si="502"/>
        <v>0</v>
      </c>
    </row>
    <row r="755" spans="2:13" x14ac:dyDescent="0.25">
      <c r="B755" s="5" t="str">
        <f t="shared" si="440"/>
        <v>SPS4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03">IFERROR(G$736/G$733,0)*G737</f>
        <v>0</v>
      </c>
      <c r="H755" s="18">
        <f t="shared" si="503"/>
        <v>0</v>
      </c>
      <c r="I755" s="18">
        <f t="shared" si="503"/>
        <v>0</v>
      </c>
      <c r="J755" s="18">
        <f t="shared" si="503"/>
        <v>0</v>
      </c>
      <c r="K755" s="18">
        <f t="shared" si="503"/>
        <v>0</v>
      </c>
    </row>
    <row r="756" spans="2:13" x14ac:dyDescent="0.25">
      <c r="B756" s="5" t="str">
        <f t="shared" ref="B756:B819" si="504">B755</f>
        <v>SPS4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05">IFERROR(F$736/F$733,0)*F738</f>
        <v>0</v>
      </c>
      <c r="G756" s="18">
        <f t="shared" si="505"/>
        <v>0</v>
      </c>
      <c r="H756" s="18">
        <f t="shared" si="505"/>
        <v>0</v>
      </c>
      <c r="I756" s="18">
        <f t="shared" si="505"/>
        <v>0</v>
      </c>
      <c r="J756" s="18">
        <f t="shared" si="505"/>
        <v>0</v>
      </c>
      <c r="K756" s="18">
        <f t="shared" si="505"/>
        <v>0</v>
      </c>
    </row>
    <row r="757" spans="2:13" x14ac:dyDescent="0.25">
      <c r="B757" s="5" t="str">
        <f t="shared" si="504"/>
        <v>SPS4</v>
      </c>
      <c r="C757" s="5" t="str">
        <f t="shared" ref="C757:C760" si="506">C756</f>
        <v>CH</v>
      </c>
      <c r="D757" t="s">
        <v>939</v>
      </c>
      <c r="E757" s="5" t="s">
        <v>442</v>
      </c>
      <c r="F757" s="18">
        <f t="shared" ref="F757:K757" si="507">IFERROR(F$736/F$733,0)*F739</f>
        <v>0</v>
      </c>
      <c r="G757" s="18">
        <f t="shared" si="507"/>
        <v>0</v>
      </c>
      <c r="H757" s="18">
        <f t="shared" si="507"/>
        <v>0</v>
      </c>
      <c r="I757" s="18">
        <f t="shared" si="507"/>
        <v>0</v>
      </c>
      <c r="J757" s="18">
        <f t="shared" si="507"/>
        <v>0</v>
      </c>
      <c r="K757" s="18">
        <f t="shared" si="507"/>
        <v>0</v>
      </c>
    </row>
    <row r="758" spans="2:13" x14ac:dyDescent="0.25">
      <c r="B758" s="5" t="str">
        <f t="shared" si="504"/>
        <v>SPS4</v>
      </c>
      <c r="C758" s="5" t="str">
        <f t="shared" si="506"/>
        <v>CH</v>
      </c>
      <c r="D758" t="s">
        <v>465</v>
      </c>
      <c r="E758" s="5" t="s">
        <v>442</v>
      </c>
      <c r="F758" s="18">
        <f t="shared" ref="F758:K758" si="508">IFERROR(F$736/F$733,0)*F740</f>
        <v>0</v>
      </c>
      <c r="G758" s="18">
        <f t="shared" si="508"/>
        <v>0</v>
      </c>
      <c r="H758" s="18">
        <f t="shared" si="508"/>
        <v>0</v>
      </c>
      <c r="I758" s="18">
        <f t="shared" si="508"/>
        <v>0</v>
      </c>
      <c r="J758" s="18">
        <f t="shared" si="508"/>
        <v>0</v>
      </c>
      <c r="K758" s="18">
        <f t="shared" si="508"/>
        <v>0</v>
      </c>
    </row>
    <row r="759" spans="2:13" x14ac:dyDescent="0.25">
      <c r="B759" s="5" t="str">
        <f t="shared" si="504"/>
        <v>SPS4</v>
      </c>
      <c r="C759" s="5" t="str">
        <f t="shared" si="506"/>
        <v>CH</v>
      </c>
      <c r="D759" t="s">
        <v>466</v>
      </c>
      <c r="E759" s="5" t="s">
        <v>442</v>
      </c>
      <c r="F759" s="18">
        <f t="shared" ref="F759:K759" si="509">IFERROR(F$736/F$733,0)*F741</f>
        <v>0</v>
      </c>
      <c r="G759" s="18">
        <f t="shared" si="509"/>
        <v>0</v>
      </c>
      <c r="H759" s="18">
        <f t="shared" si="509"/>
        <v>0</v>
      </c>
      <c r="I759" s="18">
        <f t="shared" si="509"/>
        <v>0</v>
      </c>
      <c r="J759" s="18">
        <f t="shared" si="509"/>
        <v>0</v>
      </c>
      <c r="K759" s="18">
        <f t="shared" si="509"/>
        <v>0</v>
      </c>
    </row>
    <row r="760" spans="2:13" x14ac:dyDescent="0.25">
      <c r="B760" s="5" t="str">
        <f t="shared" si="504"/>
        <v>SPS4</v>
      </c>
      <c r="C760" s="5" t="str">
        <f t="shared" si="506"/>
        <v>CH</v>
      </c>
      <c r="D760" t="s">
        <v>467</v>
      </c>
      <c r="E760" s="5" t="s">
        <v>442</v>
      </c>
      <c r="F760" s="18">
        <f t="shared" ref="F760:K760" si="510">IFERROR(F$736/F$733,0)*F742</f>
        <v>0</v>
      </c>
      <c r="G760" s="18">
        <f t="shared" si="510"/>
        <v>0</v>
      </c>
      <c r="H760" s="18">
        <f t="shared" si="510"/>
        <v>0</v>
      </c>
      <c r="I760" s="18">
        <f t="shared" si="510"/>
        <v>0</v>
      </c>
      <c r="J760" s="18">
        <f t="shared" si="510"/>
        <v>0</v>
      </c>
      <c r="K760" s="18">
        <f t="shared" si="510"/>
        <v>0</v>
      </c>
    </row>
    <row r="761" spans="2:13" x14ac:dyDescent="0.25">
      <c r="B761" s="9" t="str">
        <f t="shared" si="504"/>
        <v>SPS4</v>
      </c>
      <c r="C761" s="9" t="str">
        <f t="shared" ref="C761:C775" si="511">C760</f>
        <v>CH</v>
      </c>
      <c r="D761" s="2" t="s">
        <v>496</v>
      </c>
      <c r="E761" s="9" t="s">
        <v>8</v>
      </c>
      <c r="F761" s="17">
        <f t="shared" ref="F761:K761" si="512">F762+F766+F776+F787+F789+F801+F803+F805+F809+F811+F813</f>
        <v>142.21739318981992</v>
      </c>
      <c r="G761" s="17">
        <f t="shared" si="512"/>
        <v>140.27495821617831</v>
      </c>
      <c r="H761" s="17">
        <f t="shared" si="512"/>
        <v>143.16896513706135</v>
      </c>
      <c r="I761" s="17">
        <f t="shared" si="512"/>
        <v>145.21590084222439</v>
      </c>
      <c r="J761" s="17">
        <f t="shared" si="512"/>
        <v>146.49546636656041</v>
      </c>
      <c r="K761" s="17">
        <f t="shared" si="512"/>
        <v>146.39813639432455</v>
      </c>
    </row>
    <row r="762" spans="2:13" x14ac:dyDescent="0.25">
      <c r="B762" s="5" t="str">
        <f t="shared" si="504"/>
        <v>SPS4</v>
      </c>
      <c r="C762" s="5" t="str">
        <f t="shared" si="511"/>
        <v>CH</v>
      </c>
      <c r="D762" t="s">
        <v>940</v>
      </c>
      <c r="E762" t="s">
        <v>8</v>
      </c>
      <c r="F762" s="18">
        <f>[1]Industry!B$11</f>
        <v>60.070013563995388</v>
      </c>
      <c r="G762" s="18">
        <f>[1]Industry!C$11</f>
        <v>62.51579136452807</v>
      </c>
      <c r="H762" s="18">
        <f>[1]Industry!D$11</f>
        <v>65.68123547292403</v>
      </c>
      <c r="I762" s="18">
        <f>[1]Industry!E$11</f>
        <v>67.147313829456621</v>
      </c>
      <c r="J762" s="18">
        <f>[1]Industry!F$11</f>
        <v>69.094248391743463</v>
      </c>
      <c r="K762" s="18">
        <f>[1]Industry!G$11</f>
        <v>70.447223393465109</v>
      </c>
    </row>
    <row r="763" spans="2:13" x14ac:dyDescent="0.25">
      <c r="B763" s="5" t="str">
        <f t="shared" si="504"/>
        <v>SPS4</v>
      </c>
      <c r="C763" s="5" t="str">
        <f t="shared" si="511"/>
        <v>CH</v>
      </c>
      <c r="D763" t="s">
        <v>758</v>
      </c>
      <c r="E763" t="s">
        <v>8</v>
      </c>
      <c r="F763" s="1">
        <f t="shared" ref="F763:J763" si="513">F762-F764-F765</f>
        <v>11.646942096364818</v>
      </c>
      <c r="G763" s="1">
        <f t="shared" si="513"/>
        <v>12.258977871177514</v>
      </c>
      <c r="H763" s="1">
        <f t="shared" si="513"/>
        <v>13.430947097343385</v>
      </c>
      <c r="I763" s="1">
        <f t="shared" si="513"/>
        <v>13.413183986717037</v>
      </c>
      <c r="J763" s="1">
        <f t="shared" si="513"/>
        <v>13.377817434761909</v>
      </c>
      <c r="K763" s="1">
        <f>K762-K764-K765</f>
        <v>13.342616820893227</v>
      </c>
      <c r="L763" s="1"/>
      <c r="M763" s="1"/>
    </row>
    <row r="764" spans="2:13" x14ac:dyDescent="0.25">
      <c r="B764" s="5" t="str">
        <f t="shared" si="504"/>
        <v>SPS4</v>
      </c>
      <c r="C764" s="5" t="str">
        <f t="shared" si="511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0.35967381545956645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0.45106276535576628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0.68936745014251233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0.74701462851629363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1.1270725700444391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1.0926589641567301</v>
      </c>
    </row>
    <row r="765" spans="2:13" x14ac:dyDescent="0.25">
      <c r="B765" s="5" t="str">
        <f t="shared" si="504"/>
        <v>SPS4</v>
      </c>
      <c r="C765" s="5" t="str">
        <f t="shared" si="511"/>
        <v>CH</v>
      </c>
      <c r="D765" t="s">
        <v>468</v>
      </c>
      <c r="E765" t="s">
        <v>8</v>
      </c>
      <c r="F765" s="1">
        <f>[1]Industry!B$11-[1]Industry!B$33</f>
        <v>48.063397652171005</v>
      </c>
      <c r="G765" s="1">
        <f>[1]Industry!C$11-[1]Industry!C$33</f>
        <v>49.805750727994791</v>
      </c>
      <c r="H765" s="1">
        <f>[1]Industry!D$11-[1]Industry!D$33</f>
        <v>51.560920925438133</v>
      </c>
      <c r="I765" s="1">
        <f>[1]Industry!E$11-[1]Industry!E$33</f>
        <v>52.987115214223287</v>
      </c>
      <c r="J765" s="1">
        <f>[1]Industry!F$11-[1]Industry!F$33</f>
        <v>54.589358386937121</v>
      </c>
      <c r="K765" s="1">
        <f>[1]Industry!G$11-[1]Industry!G$33</f>
        <v>56.011947608415156</v>
      </c>
    </row>
    <row r="766" spans="2:13" x14ac:dyDescent="0.25">
      <c r="B766" s="5" t="str">
        <f t="shared" si="504"/>
        <v>SPS4</v>
      </c>
      <c r="C766" s="5" t="str">
        <f t="shared" si="511"/>
        <v>CH</v>
      </c>
      <c r="D766" t="s">
        <v>469</v>
      </c>
      <c r="E766" t="s">
        <v>8</v>
      </c>
      <c r="F766" s="1">
        <f>SUM(F769,F774)</f>
        <v>11.627804856720587</v>
      </c>
      <c r="G766" s="1">
        <f t="shared" ref="G766:K766" si="514">SUM(G769,G774)</f>
        <v>7.9929040658346251</v>
      </c>
      <c r="H766" s="1">
        <f t="shared" si="514"/>
        <v>7.9736341792884033</v>
      </c>
      <c r="I766" s="1">
        <f t="shared" si="514"/>
        <v>6.5034508816269438</v>
      </c>
      <c r="J766" s="1">
        <f t="shared" si="514"/>
        <v>3.3378605526877183</v>
      </c>
      <c r="K766" s="1">
        <f t="shared" si="514"/>
        <v>0.25066811011649887</v>
      </c>
    </row>
    <row r="767" spans="2:13" x14ac:dyDescent="0.25">
      <c r="B767" s="5" t="str">
        <f t="shared" si="504"/>
        <v>SPS4</v>
      </c>
      <c r="C767" s="5" t="str">
        <f t="shared" si="511"/>
        <v>CH</v>
      </c>
      <c r="D767" t="s">
        <v>470</v>
      </c>
      <c r="E767" t="s">
        <v>8</v>
      </c>
      <c r="F767" s="1">
        <f>SUM(F771,F775)</f>
        <v>8.89780381053078</v>
      </c>
      <c r="G767" s="1">
        <f t="shared" ref="G767:K767" si="515">SUM(G771,G775)</f>
        <v>7.9926800556475897</v>
      </c>
      <c r="H767" s="1">
        <f t="shared" si="515"/>
        <v>7.9729769957603374</v>
      </c>
      <c r="I767" s="1">
        <f t="shared" si="515"/>
        <v>6.5030123537600346</v>
      </c>
      <c r="J767" s="1">
        <f t="shared" si="515"/>
        <v>3.3375063063971226</v>
      </c>
      <c r="K767" s="1">
        <f t="shared" si="515"/>
        <v>0.25066811011649887</v>
      </c>
    </row>
    <row r="768" spans="2:13" x14ac:dyDescent="0.25">
      <c r="B768" s="5" t="str">
        <f t="shared" si="504"/>
        <v>SPS4</v>
      </c>
      <c r="C768" s="5" t="str">
        <f t="shared" si="511"/>
        <v>CH</v>
      </c>
      <c r="D768" t="s">
        <v>471</v>
      </c>
      <c r="E768" t="s">
        <v>8</v>
      </c>
      <c r="F768" s="1">
        <f>F773</f>
        <v>2.7300010461898081</v>
      </c>
      <c r="G768" s="1">
        <f t="shared" ref="G768:K768" si="516">G773</f>
        <v>2.2401018703561865E-4</v>
      </c>
      <c r="H768" s="1">
        <f t="shared" si="516"/>
        <v>6.5718352806615665E-4</v>
      </c>
      <c r="I768" s="1">
        <f t="shared" si="516"/>
        <v>4.3852786690932826E-4</v>
      </c>
      <c r="J768" s="1">
        <f t="shared" si="516"/>
        <v>3.5424629059552828E-4</v>
      </c>
      <c r="K768" s="1">
        <f t="shared" si="516"/>
        <v>0</v>
      </c>
    </row>
    <row r="769" spans="2:11" x14ac:dyDescent="0.25">
      <c r="B769" s="5" t="str">
        <f t="shared" si="504"/>
        <v>SPS4</v>
      </c>
      <c r="C769" s="5" t="str">
        <f t="shared" si="511"/>
        <v>CH</v>
      </c>
      <c r="D769" t="s">
        <v>941</v>
      </c>
      <c r="E769" t="s">
        <v>8</v>
      </c>
      <c r="F769" s="1">
        <f>SUM(F770,F772)</f>
        <v>11.627804856720587</v>
      </c>
      <c r="G769" s="1">
        <f t="shared" ref="G769:K769" si="517">SUM(G770,G772)</f>
        <v>7.9929040658346251</v>
      </c>
      <c r="H769" s="1">
        <f t="shared" si="517"/>
        <v>7.9735619152771244</v>
      </c>
      <c r="I769" s="1">
        <f t="shared" si="517"/>
        <v>6.5033814169781738</v>
      </c>
      <c r="J769" s="1">
        <f t="shared" si="517"/>
        <v>2.9592019857764216</v>
      </c>
      <c r="K769" s="1">
        <f t="shared" si="517"/>
        <v>3.5495262311718372E-5</v>
      </c>
    </row>
    <row r="770" spans="2:11" x14ac:dyDescent="0.25">
      <c r="B770" s="5" t="str">
        <f t="shared" si="504"/>
        <v>SPS4</v>
      </c>
      <c r="C770" s="5" t="str">
        <f t="shared" si="511"/>
        <v>CH</v>
      </c>
      <c r="D770" t="s">
        <v>525</v>
      </c>
      <c r="E770" t="s">
        <v>8</v>
      </c>
      <c r="F770" s="1">
        <f>[1]Industry!B$34</f>
        <v>8.89780381053078</v>
      </c>
      <c r="G770" s="1">
        <f>[1]Industry!C$34</f>
        <v>7.9926800556475897</v>
      </c>
      <c r="H770" s="1">
        <f>[1]Industry!D$34</f>
        <v>7.9729047317490584</v>
      </c>
      <c r="I770" s="1">
        <f>[1]Industry!E$34</f>
        <v>6.5029428891112646</v>
      </c>
      <c r="J770" s="1">
        <f>[1]Industry!F$34</f>
        <v>2.9588477394858259</v>
      </c>
      <c r="K770" s="1">
        <f>[1]Industry!G$34</f>
        <v>3.5495262311718372E-5</v>
      </c>
    </row>
    <row r="771" spans="2:11" x14ac:dyDescent="0.25">
      <c r="B771" s="5" t="str">
        <f t="shared" si="504"/>
        <v>SPS4</v>
      </c>
      <c r="C771" s="5" t="str">
        <f t="shared" si="511"/>
        <v>CH</v>
      </c>
      <c r="D771" t="s">
        <v>526</v>
      </c>
      <c r="E771" t="s">
        <v>8</v>
      </c>
      <c r="F771" s="1">
        <f>F770</f>
        <v>8.89780381053078</v>
      </c>
      <c r="G771" s="1">
        <f t="shared" ref="G771:K771" si="518">G770</f>
        <v>7.9926800556475897</v>
      </c>
      <c r="H771" s="1">
        <f t="shared" si="518"/>
        <v>7.9729047317490584</v>
      </c>
      <c r="I771" s="1">
        <f t="shared" si="518"/>
        <v>6.5029428891112646</v>
      </c>
      <c r="J771" s="1">
        <f t="shared" si="518"/>
        <v>2.9588477394858259</v>
      </c>
      <c r="K771" s="1">
        <f t="shared" si="518"/>
        <v>3.5495262311718372E-5</v>
      </c>
    </row>
    <row r="772" spans="2:11" x14ac:dyDescent="0.25">
      <c r="B772" s="5" t="str">
        <f t="shared" si="504"/>
        <v>SPS4</v>
      </c>
      <c r="C772" s="5" t="str">
        <f t="shared" si="511"/>
        <v>CH</v>
      </c>
      <c r="D772" t="s">
        <v>527</v>
      </c>
      <c r="E772" t="s">
        <v>8</v>
      </c>
      <c r="F772" s="1">
        <f>[1]Industry!B$35</f>
        <v>2.7300010461898081</v>
      </c>
      <c r="G772" s="1">
        <f>[1]Industry!C$35</f>
        <v>2.2401018703561865E-4</v>
      </c>
      <c r="H772" s="1">
        <f>[1]Industry!D$35</f>
        <v>6.5718352806615665E-4</v>
      </c>
      <c r="I772" s="1">
        <f>[1]Industry!E$35</f>
        <v>4.3852786690932826E-4</v>
      </c>
      <c r="J772" s="1">
        <f>[1]Industry!F$35</f>
        <v>3.5424629059552828E-4</v>
      </c>
      <c r="K772" s="1">
        <f>[1]Industry!G$35</f>
        <v>0</v>
      </c>
    </row>
    <row r="773" spans="2:11" x14ac:dyDescent="0.25">
      <c r="B773" s="5" t="str">
        <f t="shared" si="504"/>
        <v>SPS4</v>
      </c>
      <c r="C773" s="5" t="str">
        <f t="shared" si="511"/>
        <v>CH</v>
      </c>
      <c r="D773" t="s">
        <v>944</v>
      </c>
      <c r="E773" t="s">
        <v>8</v>
      </c>
      <c r="F773" s="1">
        <f>F772</f>
        <v>2.7300010461898081</v>
      </c>
      <c r="G773" s="1">
        <f t="shared" ref="G773:K773" si="519">G772</f>
        <v>2.2401018703561865E-4</v>
      </c>
      <c r="H773" s="1">
        <f t="shared" si="519"/>
        <v>6.5718352806615665E-4</v>
      </c>
      <c r="I773" s="1">
        <f t="shared" si="519"/>
        <v>4.3852786690932826E-4</v>
      </c>
      <c r="J773" s="1">
        <f t="shared" si="519"/>
        <v>3.5424629059552828E-4</v>
      </c>
      <c r="K773" s="1">
        <f t="shared" si="519"/>
        <v>0</v>
      </c>
    </row>
    <row r="774" spans="2:11" x14ac:dyDescent="0.25">
      <c r="B774" s="5" t="str">
        <f t="shared" si="504"/>
        <v>SPS4</v>
      </c>
      <c r="C774" s="5" t="str">
        <f t="shared" si="511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7.2264011279285406E-5</v>
      </c>
      <c r="I774" s="1">
        <f>[1]Industry!E$36</f>
        <v>6.9464648770116579E-5</v>
      </c>
      <c r="J774" s="1">
        <f>[1]Industry!F$36</f>
        <v>0.37865856691129668</v>
      </c>
      <c r="K774" s="1">
        <f>[1]Industry!G$36</f>
        <v>0.25063261485418714</v>
      </c>
    </row>
    <row r="775" spans="2:11" x14ac:dyDescent="0.25">
      <c r="B775" s="5" t="str">
        <f t="shared" si="504"/>
        <v>SPS4</v>
      </c>
      <c r="C775" s="5" t="str">
        <f t="shared" si="511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20">G774</f>
        <v>0</v>
      </c>
      <c r="H775" s="1">
        <f t="shared" si="520"/>
        <v>7.2264011279285406E-5</v>
      </c>
      <c r="I775" s="1">
        <f t="shared" si="520"/>
        <v>6.9464648770116579E-5</v>
      </c>
      <c r="J775" s="1">
        <f t="shared" si="520"/>
        <v>0.37865856691129668</v>
      </c>
      <c r="K775" s="1">
        <f t="shared" si="520"/>
        <v>0.25063261485418714</v>
      </c>
    </row>
    <row r="776" spans="2:11" x14ac:dyDescent="0.25">
      <c r="B776" s="5" t="str">
        <f t="shared" si="504"/>
        <v>SPS4</v>
      </c>
      <c r="C776" s="5" t="str">
        <f t="shared" ref="C776:C777" si="521">C775</f>
        <v>CH</v>
      </c>
      <c r="D776" t="s">
        <v>472</v>
      </c>
      <c r="E776" t="s">
        <v>8</v>
      </c>
      <c r="F776" s="1">
        <f>SUM([1]Industry!B$37:B$39)</f>
        <v>35.989087681121148</v>
      </c>
      <c r="G776" s="1">
        <f>SUM([1]Industry!C$37:C$39)</f>
        <v>32.200234563761278</v>
      </c>
      <c r="H776" s="1">
        <f>SUM([1]Industry!D$37:D$39)</f>
        <v>35.070586914473019</v>
      </c>
      <c r="I776" s="1">
        <f>SUM([1]Industry!E$37:E$39)</f>
        <v>36.45295611540697</v>
      </c>
      <c r="J776" s="1">
        <f>SUM([1]Industry!F$37:F$39)</f>
        <v>23.943341570148924</v>
      </c>
      <c r="K776" s="1">
        <f>SUM([1]Industry!G$37:G$39)</f>
        <v>17.196831023121945</v>
      </c>
    </row>
    <row r="777" spans="2:11" x14ac:dyDescent="0.25">
      <c r="B777" s="5" t="str">
        <f t="shared" si="504"/>
        <v>SPS4</v>
      </c>
      <c r="C777" s="5" t="str">
        <f t="shared" si="521"/>
        <v>CH</v>
      </c>
      <c r="D777" t="s">
        <v>678</v>
      </c>
      <c r="E777" t="s">
        <v>8</v>
      </c>
      <c r="F777" s="1">
        <f>SUM([1]Industry!B$37:B$38)-F778</f>
        <v>35.491702237059371</v>
      </c>
      <c r="G777" s="1">
        <f>SUM([1]Industry!C$37:C$38)-G778</f>
        <v>31.597330668545844</v>
      </c>
      <c r="H777" s="1">
        <f>SUM([1]Industry!D$37:D$38)-H778</f>
        <v>32.66700562646826</v>
      </c>
      <c r="I777" s="1">
        <f>SUM([1]Industry!E$37:E$38)-I778</f>
        <v>30.678860144986924</v>
      </c>
      <c r="J777" s="1">
        <f>SUM([1]Industry!F$37:F$38)-J778</f>
        <v>15.665117246097783</v>
      </c>
      <c r="K777" s="1">
        <f>SUM([1]Industry!G$37:G$38)-K778</f>
        <v>8.1486583563940442</v>
      </c>
    </row>
    <row r="778" spans="2:11" x14ac:dyDescent="0.25">
      <c r="B778" s="5" t="str">
        <f t="shared" si="504"/>
        <v>SPS4</v>
      </c>
      <c r="C778" s="5" t="str">
        <f t="shared" ref="C778" si="522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6.0659525320859831E-2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5.0838652506277802E-2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 t="shared" si="504"/>
        <v>SPS4</v>
      </c>
      <c r="C779" s="5" t="str">
        <f>C777</f>
        <v>CH</v>
      </c>
      <c r="D779" t="s">
        <v>473</v>
      </c>
      <c r="E779" t="s">
        <v>8</v>
      </c>
      <c r="F779" s="1">
        <f t="shared" ref="F779:K779" si="523">F776-F777</f>
        <v>0.49738544406177709</v>
      </c>
      <c r="G779" s="1">
        <f t="shared" si="523"/>
        <v>0.60290389521543375</v>
      </c>
      <c r="H779" s="1">
        <f t="shared" si="523"/>
        <v>2.4035812880047587</v>
      </c>
      <c r="I779" s="1">
        <f t="shared" si="523"/>
        <v>5.7740959704200456</v>
      </c>
      <c r="J779" s="1">
        <f t="shared" si="523"/>
        <v>8.2782243240511413</v>
      </c>
      <c r="K779" s="1">
        <f t="shared" si="523"/>
        <v>9.0481726667279005</v>
      </c>
    </row>
    <row r="780" spans="2:11" x14ac:dyDescent="0.25">
      <c r="B780" s="5" t="str">
        <f t="shared" si="504"/>
        <v>SPS4</v>
      </c>
      <c r="C780" s="5" t="str">
        <f t="shared" ref="C780:C788" si="524">C779</f>
        <v>CH</v>
      </c>
      <c r="D780" t="s">
        <v>945</v>
      </c>
      <c r="E780" t="s">
        <v>8</v>
      </c>
      <c r="F780" s="1">
        <f>[1]Industry!B$37</f>
        <v>35.241321478540641</v>
      </c>
      <c r="G780" s="1">
        <f>[1]Industry!C$37</f>
        <v>31.64813767376835</v>
      </c>
      <c r="H780" s="1">
        <f>[1]Industry!D$37</f>
        <v>31.891844542234562</v>
      </c>
      <c r="I780" s="1">
        <f>[1]Industry!E$37</f>
        <v>28.308522849753274</v>
      </c>
      <c r="J780" s="1">
        <f>[1]Industry!F$37</f>
        <v>12.903230973200193</v>
      </c>
      <c r="K780" s="1">
        <f>[1]Industry!G$37</f>
        <v>2.1430812330568205</v>
      </c>
    </row>
    <row r="781" spans="2:11" x14ac:dyDescent="0.25">
      <c r="B781" s="5" t="str">
        <f t="shared" si="504"/>
        <v>SPS4</v>
      </c>
      <c r="C781" s="5" t="str">
        <f t="shared" si="524"/>
        <v>CH</v>
      </c>
      <c r="D781" t="s">
        <v>679</v>
      </c>
      <c r="E781" t="s">
        <v>8</v>
      </c>
      <c r="F781" s="1">
        <f>[1]Industry!B$37*F777/SUM(F777:F778)</f>
        <v>35.181192650901686</v>
      </c>
      <c r="G781" s="1">
        <f>[1]Industry!C$37*G777/SUM(G777:G778)</f>
        <v>31.5972990720993</v>
      </c>
      <c r="H781" s="1">
        <f>[1]Industry!D$37*H777/SUM(H777:H778)</f>
        <v>31.891844542234562</v>
      </c>
      <c r="I781" s="1">
        <f>[1]Industry!E$37*I777/SUM(I777:I778)</f>
        <v>28.308522849753274</v>
      </c>
      <c r="J781" s="1">
        <f>[1]Industry!F$37*J777/SUM(J777:J778)</f>
        <v>12.903230973200193</v>
      </c>
      <c r="K781" s="1">
        <f>[1]Industry!G$37*K777/SUM(K777:K778)</f>
        <v>2.1430812330568205</v>
      </c>
    </row>
    <row r="782" spans="2:11" x14ac:dyDescent="0.25">
      <c r="B782" s="5" t="str">
        <f t="shared" si="504"/>
        <v>SPS4</v>
      </c>
      <c r="C782" s="5" t="str">
        <f t="shared" ref="C782" si="525">C781</f>
        <v>CH</v>
      </c>
      <c r="D782" t="s">
        <v>723</v>
      </c>
      <c r="E782" t="s">
        <v>8</v>
      </c>
      <c r="F782" s="1">
        <f>F780-F781</f>
        <v>6.0128827638955329E-2</v>
      </c>
      <c r="G782" s="1">
        <f t="shared" ref="G782:K782" si="526">G780-G781</f>
        <v>5.083860166904941E-2</v>
      </c>
      <c r="H782" s="1">
        <f t="shared" si="526"/>
        <v>0</v>
      </c>
      <c r="I782" s="1">
        <f t="shared" si="526"/>
        <v>0</v>
      </c>
      <c r="J782" s="1">
        <f t="shared" si="526"/>
        <v>0</v>
      </c>
      <c r="K782" s="1">
        <f t="shared" si="526"/>
        <v>0</v>
      </c>
    </row>
    <row r="783" spans="2:11" x14ac:dyDescent="0.25">
      <c r="B783" s="5" t="str">
        <f t="shared" si="504"/>
        <v>SPS4</v>
      </c>
      <c r="C783" s="5" t="str">
        <f>C781</f>
        <v>CH</v>
      </c>
      <c r="D783" t="s">
        <v>946</v>
      </c>
      <c r="E783" t="s">
        <v>8</v>
      </c>
      <c r="F783" s="1">
        <f>SUM(F784:F786)</f>
        <v>0.74776620258051341</v>
      </c>
      <c r="G783" s="1">
        <f t="shared" ref="G783:K783" si="527">SUM(G784:G786)</f>
        <v>0.55209688999292539</v>
      </c>
      <c r="H783" s="1">
        <f t="shared" si="527"/>
        <v>3.1787423722384531</v>
      </c>
      <c r="I783" s="1">
        <f t="shared" si="527"/>
        <v>8.1444332656536957</v>
      </c>
      <c r="J783" s="1">
        <f t="shared" si="527"/>
        <v>11.040110596948731</v>
      </c>
      <c r="K783" s="1">
        <f t="shared" si="527"/>
        <v>15.053749790065126</v>
      </c>
    </row>
    <row r="784" spans="2:11" x14ac:dyDescent="0.25">
      <c r="B784" s="5" t="str">
        <f t="shared" si="504"/>
        <v>SPS4</v>
      </c>
      <c r="C784" s="5" t="str">
        <f t="shared" si="524"/>
        <v>CH</v>
      </c>
      <c r="D784" t="s">
        <v>680</v>
      </c>
      <c r="E784" t="s">
        <v>8</v>
      </c>
      <c r="F784" s="1">
        <f>[1]Industry!B$38*F777/SUM(F777:F778)</f>
        <v>0.31050958615769109</v>
      </c>
      <c r="G784" s="1">
        <f>[1]Industry!C$38*G777/SUM(G777:G778)</f>
        <v>3.1596446543625787E-5</v>
      </c>
      <c r="H784" s="1">
        <f>[1]Industry!D$38*H777/SUM(H777:H778)</f>
        <v>0.77516108423369667</v>
      </c>
      <c r="I784" s="1">
        <f>[1]Industry!E$38*I777/SUM(I777:I778)</f>
        <v>2.370337295233651</v>
      </c>
      <c r="J784" s="1">
        <f>[1]Industry!F$38*J777/SUM(J777:J778)</f>
        <v>2.7618862728975899</v>
      </c>
      <c r="K784" s="1">
        <f>[1]Industry!G$38*K777/SUM(K777:K778)</f>
        <v>6.0055771233372237</v>
      </c>
    </row>
    <row r="785" spans="2:13" x14ac:dyDescent="0.25">
      <c r="B785" s="5" t="str">
        <f t="shared" si="504"/>
        <v>SPS4</v>
      </c>
      <c r="C785" s="5" t="str">
        <f t="shared" ref="C785" si="528">C784</f>
        <v>CH</v>
      </c>
      <c r="D785" t="s">
        <v>724</v>
      </c>
      <c r="E785" t="s">
        <v>8</v>
      </c>
      <c r="F785" s="1">
        <f>[1]Industry!B$38-F784</f>
        <v>5.3069768190022737E-4</v>
      </c>
      <c r="G785" s="1">
        <f>[1]Industry!C$38-G784</f>
        <v>5.0837229989927251E-8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 t="shared" si="504"/>
        <v>SPS4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0.43672591874092204</v>
      </c>
      <c r="G786" s="1">
        <f>[1]Industry!C$39</f>
        <v>0.5520652427091518</v>
      </c>
      <c r="H786" s="1">
        <f>[1]Industry!D$39</f>
        <v>2.4035812880047565</v>
      </c>
      <c r="I786" s="1">
        <f>[1]Industry!E$39</f>
        <v>5.7740959704200439</v>
      </c>
      <c r="J786" s="1">
        <f>[1]Industry!F$39</f>
        <v>8.2782243240511413</v>
      </c>
      <c r="K786" s="1">
        <f>[1]Industry!G$39</f>
        <v>9.0481726667279023</v>
      </c>
    </row>
    <row r="787" spans="2:13" x14ac:dyDescent="0.25">
      <c r="B787" s="5" t="str">
        <f t="shared" si="504"/>
        <v>SPS4</v>
      </c>
      <c r="C787" s="5" t="str">
        <f t="shared" si="524"/>
        <v>CH</v>
      </c>
      <c r="D787" t="s">
        <v>947</v>
      </c>
      <c r="E787" t="s">
        <v>8</v>
      </c>
      <c r="F787" s="1">
        <f>[1]Industry!B$18</f>
        <v>3.560001170516788</v>
      </c>
      <c r="G787" s="1">
        <f>[1]Industry!C$18</f>
        <v>3.4647165621005938</v>
      </c>
      <c r="H787" s="1">
        <f>[1]Industry!D$18</f>
        <v>3.2255900287305095</v>
      </c>
      <c r="I787" s="1">
        <f>[1]Industry!E$18</f>
        <v>7.6323335700341402E-4</v>
      </c>
      <c r="J787" s="1">
        <f>[1]Industry!F$18</f>
        <v>3.336828852408488E-4</v>
      </c>
      <c r="K787" s="1">
        <f>[1]Industry!G$18</f>
        <v>9.5725429957025708E-5</v>
      </c>
    </row>
    <row r="788" spans="2:13" x14ac:dyDescent="0.25">
      <c r="B788" s="5" t="str">
        <f t="shared" si="504"/>
        <v>SPS4</v>
      </c>
      <c r="C788" s="5" t="str">
        <f t="shared" si="524"/>
        <v>CH</v>
      </c>
      <c r="D788" t="s">
        <v>948</v>
      </c>
      <c r="E788" t="s">
        <v>8</v>
      </c>
      <c r="F788" s="1">
        <f>F787</f>
        <v>3.560001170516788</v>
      </c>
      <c r="G788" s="1">
        <f t="shared" ref="G788:K788" si="529">G787</f>
        <v>3.4647165621005938</v>
      </c>
      <c r="H788" s="1">
        <f t="shared" si="529"/>
        <v>3.2255900287305095</v>
      </c>
      <c r="I788" s="1">
        <f t="shared" si="529"/>
        <v>7.6323335700341402E-4</v>
      </c>
      <c r="J788" s="1">
        <f t="shared" si="529"/>
        <v>3.336828852408488E-4</v>
      </c>
      <c r="K788" s="1">
        <f t="shared" si="529"/>
        <v>9.5725429957025708E-5</v>
      </c>
    </row>
    <row r="789" spans="2:13" x14ac:dyDescent="0.25">
      <c r="B789" s="5" t="str">
        <f t="shared" si="504"/>
        <v>SPS4</v>
      </c>
      <c r="C789" s="5" t="str">
        <f t="shared" ref="C789:C790" si="530">C788</f>
        <v>CH</v>
      </c>
      <c r="D789" t="s">
        <v>949</v>
      </c>
      <c r="E789" t="s">
        <v>8</v>
      </c>
      <c r="F789" s="1">
        <f>[1]Industry!B$19</f>
        <v>12.728651336407761</v>
      </c>
      <c r="G789" s="1">
        <f>[1]Industry!C$19</f>
        <v>13.638431149299594</v>
      </c>
      <c r="H789" s="1">
        <f>[1]Industry!D$19</f>
        <v>13.475037817588762</v>
      </c>
      <c r="I789" s="1">
        <f>[1]Industry!E$19</f>
        <v>16.110498003869278</v>
      </c>
      <c r="J789" s="1">
        <f>[1]Industry!F$19</f>
        <v>21.557242482081254</v>
      </c>
      <c r="K789" s="1">
        <f>[1]Industry!G$19</f>
        <v>25.667429346412685</v>
      </c>
    </row>
    <row r="790" spans="2:13" x14ac:dyDescent="0.25">
      <c r="B790" s="5" t="str">
        <f t="shared" si="504"/>
        <v>SPS4</v>
      </c>
      <c r="C790" s="5" t="str">
        <f t="shared" si="530"/>
        <v>CH</v>
      </c>
      <c r="D790" t="s">
        <v>950</v>
      </c>
      <c r="E790" t="s">
        <v>8</v>
      </c>
      <c r="F790" s="1">
        <f>SUM(F791:F799)</f>
        <v>4.2917186742056561</v>
      </c>
      <c r="G790" s="1">
        <f t="shared" ref="G790:K790" si="531">SUM(G791:G799)</f>
        <v>5.8466845868093635</v>
      </c>
      <c r="H790" s="1">
        <f t="shared" si="531"/>
        <v>6.0239488950464413</v>
      </c>
      <c r="I790" s="1">
        <f t="shared" si="531"/>
        <v>7.3694189703254569</v>
      </c>
      <c r="J790" s="1">
        <f t="shared" si="531"/>
        <v>11.379483526561073</v>
      </c>
      <c r="K790" s="1">
        <f t="shared" si="531"/>
        <v>13.66510401314817</v>
      </c>
      <c r="M790" s="1"/>
    </row>
    <row r="791" spans="2:13" x14ac:dyDescent="0.25">
      <c r="B791" s="5" t="str">
        <f t="shared" si="504"/>
        <v>SPS4</v>
      </c>
      <c r="C791" s="5" t="str">
        <f t="shared" ref="C791:C808" si="532">C790</f>
        <v>CH</v>
      </c>
      <c r="D791" t="s">
        <v>481</v>
      </c>
      <c r="E791" t="s">
        <v>8</v>
      </c>
      <c r="F791" s="1">
        <f>F233</f>
        <v>0.92933032099954038</v>
      </c>
      <c r="G791" s="1">
        <f t="shared" ref="G791:K791" si="533">G233</f>
        <v>2.07060603227966</v>
      </c>
      <c r="H791" s="1">
        <f t="shared" si="533"/>
        <v>0.64408604060841235</v>
      </c>
      <c r="I791" s="1">
        <f t="shared" si="533"/>
        <v>1.3156405144628802</v>
      </c>
      <c r="J791" s="1">
        <f t="shared" si="533"/>
        <v>5.5574178558744781E-2</v>
      </c>
      <c r="K791" s="1">
        <f t="shared" si="533"/>
        <v>8.0838714060464598E-2</v>
      </c>
    </row>
    <row r="792" spans="2:13" x14ac:dyDescent="0.25">
      <c r="B792" s="5" t="str">
        <f t="shared" si="504"/>
        <v>SPS4</v>
      </c>
      <c r="C792" s="5" t="str">
        <f t="shared" si="532"/>
        <v>CH</v>
      </c>
      <c r="D792" t="s">
        <v>482</v>
      </c>
      <c r="E792" t="s">
        <v>8</v>
      </c>
      <c r="F792" s="1">
        <f>F239</f>
        <v>0.7679939993138073</v>
      </c>
      <c r="G792" s="1">
        <f t="shared" ref="G792:K792" si="534">G239</f>
        <v>0.10376195175988573</v>
      </c>
      <c r="H792" s="1">
        <f t="shared" si="534"/>
        <v>6.5609870451434363E-2</v>
      </c>
      <c r="I792" s="1">
        <f t="shared" si="534"/>
        <v>0.34341484061505834</v>
      </c>
      <c r="J792" s="1">
        <f t="shared" si="534"/>
        <v>5.8587026011682898E-2</v>
      </c>
      <c r="K792" s="1">
        <f t="shared" si="534"/>
        <v>1.5798386519070631E-2</v>
      </c>
    </row>
    <row r="793" spans="2:13" x14ac:dyDescent="0.25">
      <c r="B793" s="5" t="str">
        <f t="shared" si="504"/>
        <v>SPS4</v>
      </c>
      <c r="C793" s="5" t="str">
        <f t="shared" si="532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35">G240</f>
        <v>0</v>
      </c>
      <c r="H793" s="1">
        <f t="shared" si="535"/>
        <v>0</v>
      </c>
      <c r="I793" s="1">
        <f t="shared" si="535"/>
        <v>0</v>
      </c>
      <c r="J793" s="1">
        <f t="shared" si="535"/>
        <v>0</v>
      </c>
      <c r="K793" s="1">
        <f t="shared" si="535"/>
        <v>0</v>
      </c>
    </row>
    <row r="794" spans="2:13" x14ac:dyDescent="0.25">
      <c r="B794" s="5" t="str">
        <f t="shared" si="504"/>
        <v>SPS4</v>
      </c>
      <c r="C794" s="5" t="str">
        <f t="shared" si="532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36">G241</f>
        <v>0</v>
      </c>
      <c r="H794" s="1">
        <f t="shared" si="536"/>
        <v>0</v>
      </c>
      <c r="I794" s="1">
        <f t="shared" si="536"/>
        <v>1.69691494264468E-4</v>
      </c>
      <c r="J794" s="1">
        <f t="shared" si="536"/>
        <v>8.3715359355120828E-4</v>
      </c>
      <c r="K794" s="1">
        <f t="shared" si="536"/>
        <v>5.7954099313674409E-4</v>
      </c>
    </row>
    <row r="795" spans="2:13" x14ac:dyDescent="0.25">
      <c r="B795" s="5" t="str">
        <f t="shared" si="504"/>
        <v>SPS4</v>
      </c>
      <c r="C795" s="5" t="str">
        <f t="shared" si="532"/>
        <v>CH</v>
      </c>
      <c r="D795" t="s">
        <v>485</v>
      </c>
      <c r="E795" t="s">
        <v>8</v>
      </c>
      <c r="F795" s="1">
        <f>F272</f>
        <v>1.9348106609507449</v>
      </c>
      <c r="G795" s="1">
        <f t="shared" ref="G795:K795" si="537">G272</f>
        <v>1.8587679192142668</v>
      </c>
      <c r="H795" s="1">
        <f t="shared" si="537"/>
        <v>2.5502914993972658</v>
      </c>
      <c r="I795" s="1">
        <f t="shared" si="537"/>
        <v>2.2433304809399512</v>
      </c>
      <c r="J795" s="1">
        <f t="shared" si="537"/>
        <v>1.658925838447634</v>
      </c>
      <c r="K795" s="1">
        <f t="shared" si="537"/>
        <v>1.0997681386292535</v>
      </c>
    </row>
    <row r="796" spans="2:13" x14ac:dyDescent="0.25">
      <c r="B796" s="5" t="str">
        <f t="shared" si="504"/>
        <v>SPS4</v>
      </c>
      <c r="C796" s="5" t="str">
        <f t="shared" si="532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38">G273</f>
        <v>0</v>
      </c>
      <c r="H796" s="1">
        <f t="shared" si="538"/>
        <v>0</v>
      </c>
      <c r="I796" s="1">
        <f t="shared" si="538"/>
        <v>0</v>
      </c>
      <c r="J796" s="1">
        <f t="shared" si="538"/>
        <v>0</v>
      </c>
      <c r="K796" s="1">
        <f t="shared" si="538"/>
        <v>0</v>
      </c>
    </row>
    <row r="797" spans="2:13" x14ac:dyDescent="0.25">
      <c r="B797" s="5" t="str">
        <f t="shared" si="504"/>
        <v>SPS4</v>
      </c>
      <c r="C797" s="5" t="str">
        <f t="shared" si="532"/>
        <v>CH</v>
      </c>
      <c r="D797" t="s">
        <v>487</v>
      </c>
      <c r="E797" t="s">
        <v>8</v>
      </c>
      <c r="F797" s="1">
        <f>F281</f>
        <v>0.65958369294156327</v>
      </c>
      <c r="G797" s="1">
        <f t="shared" ref="G797:K797" si="539">G281</f>
        <v>1.8135486835555503</v>
      </c>
      <c r="H797" s="1">
        <f t="shared" si="539"/>
        <v>2.7639614845893288</v>
      </c>
      <c r="I797" s="1">
        <f t="shared" si="539"/>
        <v>3.4650975398166826</v>
      </c>
      <c r="J797" s="1">
        <f t="shared" si="539"/>
        <v>9.5954637891387868</v>
      </c>
      <c r="K797" s="1">
        <f t="shared" si="539"/>
        <v>12.444636740706802</v>
      </c>
    </row>
    <row r="798" spans="2:13" x14ac:dyDescent="0.25">
      <c r="B798" s="5" t="str">
        <f t="shared" si="504"/>
        <v>SPS4</v>
      </c>
      <c r="C798" s="5" t="str">
        <f t="shared" si="532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40">G282</f>
        <v>0</v>
      </c>
      <c r="H798" s="1">
        <f t="shared" si="540"/>
        <v>0</v>
      </c>
      <c r="I798" s="1">
        <f t="shared" si="540"/>
        <v>0</v>
      </c>
      <c r="J798" s="1">
        <f t="shared" si="540"/>
        <v>0</v>
      </c>
      <c r="K798" s="1">
        <f t="shared" si="540"/>
        <v>0</v>
      </c>
    </row>
    <row r="799" spans="2:13" x14ac:dyDescent="0.25">
      <c r="B799" s="5" t="str">
        <f t="shared" si="504"/>
        <v>SPS4</v>
      </c>
      <c r="C799" s="5" t="str">
        <f t="shared" si="532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41">G287</f>
        <v>0</v>
      </c>
      <c r="H799" s="1">
        <f t="shared" si="541"/>
        <v>0</v>
      </c>
      <c r="I799" s="1">
        <f t="shared" si="541"/>
        <v>1.7659029966205319E-3</v>
      </c>
      <c r="J799" s="1">
        <f t="shared" si="541"/>
        <v>1.0095540810673048E-2</v>
      </c>
      <c r="K799" s="1">
        <f t="shared" si="541"/>
        <v>2.3482492239444184E-2</v>
      </c>
      <c r="M799" s="1"/>
    </row>
    <row r="800" spans="2:13" x14ac:dyDescent="0.25">
      <c r="B800" s="5" t="str">
        <f t="shared" si="504"/>
        <v>SPS4</v>
      </c>
      <c r="C800" s="5" t="str">
        <f t="shared" si="532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7.1200062969018081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7.6289086471411247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7.3667575989288867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8.412900997020218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10.199634535212882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12.012363293733905</v>
      </c>
    </row>
    <row r="801" spans="2:11" x14ac:dyDescent="0.25">
      <c r="B801" s="5" t="str">
        <f t="shared" si="504"/>
        <v>SPS4</v>
      </c>
      <c r="C801" s="5" t="str">
        <f t="shared" si="532"/>
        <v>CH</v>
      </c>
      <c r="D801" t="s">
        <v>952</v>
      </c>
      <c r="E801" t="s">
        <v>8</v>
      </c>
      <c r="F801" s="1">
        <f>F802</f>
        <v>9.0018966544274956</v>
      </c>
      <c r="G801" s="1">
        <f t="shared" ref="G801:K801" si="542">G802</f>
        <v>10.609940692165205</v>
      </c>
      <c r="H801" s="1">
        <f t="shared" si="542"/>
        <v>9.8154980546232693</v>
      </c>
      <c r="I801" s="1">
        <f t="shared" si="542"/>
        <v>10.557433537618188</v>
      </c>
      <c r="J801" s="1">
        <f t="shared" si="542"/>
        <v>16.296576939931924</v>
      </c>
      <c r="K801" s="1">
        <f t="shared" si="542"/>
        <v>15.773381860744305</v>
      </c>
    </row>
    <row r="802" spans="2:11" x14ac:dyDescent="0.25">
      <c r="B802" s="5" t="str">
        <f t="shared" si="504"/>
        <v>SPS4</v>
      </c>
      <c r="C802" s="5" t="str">
        <f t="shared" si="532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9.0018966544274956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10.609940692165205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9.8154980546232693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10.557433537618188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16.296576939931924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15.773381860744305</v>
      </c>
    </row>
    <row r="803" spans="2:11" x14ac:dyDescent="0.25">
      <c r="B803" s="5" t="str">
        <f t="shared" si="504"/>
        <v>SPS4</v>
      </c>
      <c r="C803" s="5" t="str">
        <f t="shared" si="532"/>
        <v>CH</v>
      </c>
      <c r="D803" t="s">
        <v>954</v>
      </c>
      <c r="E803" t="s">
        <v>8</v>
      </c>
      <c r="F803" s="1">
        <f>F804</f>
        <v>0.6257876771667773</v>
      </c>
      <c r="G803" s="1">
        <f t="shared" ref="G803:K803" si="543">G804</f>
        <v>0.73757343594241342</v>
      </c>
      <c r="H803" s="1">
        <f t="shared" si="543"/>
        <v>0.73650781861524639</v>
      </c>
      <c r="I803" s="1">
        <f t="shared" si="543"/>
        <v>0.73444250422573998</v>
      </c>
      <c r="J803" s="1">
        <f t="shared" si="543"/>
        <v>0.73035047504535577</v>
      </c>
      <c r="K803" s="1">
        <f t="shared" si="543"/>
        <v>0.72629612454041059</v>
      </c>
    </row>
    <row r="804" spans="2:11" x14ac:dyDescent="0.25">
      <c r="B804" s="5" t="str">
        <f t="shared" si="504"/>
        <v>SPS4</v>
      </c>
      <c r="C804" s="5" t="str">
        <f t="shared" si="532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0.6257876771667773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0.73757343594241342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0.73650781861524639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0.73444250422573998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0.73035047504535577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0.72629612454041059</v>
      </c>
    </row>
    <row r="805" spans="2:11" x14ac:dyDescent="0.25">
      <c r="B805" s="5" t="str">
        <f t="shared" si="504"/>
        <v>SPS4</v>
      </c>
      <c r="C805" s="5" t="str">
        <f t="shared" si="532"/>
        <v>CH</v>
      </c>
      <c r="D805" t="s">
        <v>492</v>
      </c>
      <c r="E805" t="s">
        <v>8</v>
      </c>
      <c r="F805" s="1">
        <f>[1]Industry!B$21</f>
        <v>7.7980413972491105</v>
      </c>
      <c r="G805" s="1">
        <f>[1]Industry!C$21</f>
        <v>8.0801452520147929</v>
      </c>
      <c r="H805" s="1">
        <f>[1]Industry!D$21</f>
        <v>5.6082745555151696</v>
      </c>
      <c r="I805" s="1">
        <f>[1]Industry!E$21</f>
        <v>5.5456281515832799</v>
      </c>
      <c r="J805" s="1">
        <f>[1]Industry!F$21</f>
        <v>5.455347124631297</v>
      </c>
      <c r="K805" s="1">
        <f>[1]Industry!G$21</f>
        <v>5.3999812577976725</v>
      </c>
    </row>
    <row r="806" spans="2:11" x14ac:dyDescent="0.25">
      <c r="B806" s="5" t="str">
        <f t="shared" si="504"/>
        <v>SPS4</v>
      </c>
      <c r="C806" s="5" t="str">
        <f t="shared" si="532"/>
        <v>CH</v>
      </c>
      <c r="D806" t="s">
        <v>495</v>
      </c>
      <c r="E806" t="s">
        <v>8</v>
      </c>
      <c r="F806" s="1">
        <f>F805</f>
        <v>7.7980413972491105</v>
      </c>
      <c r="G806" s="1">
        <f t="shared" ref="G806:K806" si="544">G805</f>
        <v>8.0801452520147929</v>
      </c>
      <c r="H806" s="1">
        <f t="shared" si="544"/>
        <v>5.6082745555151696</v>
      </c>
      <c r="I806" s="1">
        <f t="shared" si="544"/>
        <v>5.5456281515832799</v>
      </c>
      <c r="J806" s="1">
        <f t="shared" si="544"/>
        <v>5.455347124631297</v>
      </c>
      <c r="K806" s="1">
        <f t="shared" si="544"/>
        <v>5.3999812577976725</v>
      </c>
    </row>
    <row r="807" spans="2:11" x14ac:dyDescent="0.25">
      <c r="B807" s="5" t="str">
        <f t="shared" si="504"/>
        <v>SPS4</v>
      </c>
      <c r="C807" s="5" t="str">
        <f t="shared" si="532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04"/>
        <v>SPS4</v>
      </c>
      <c r="C808" s="5" t="str">
        <f t="shared" si="532"/>
        <v>CH</v>
      </c>
      <c r="D808" t="s">
        <v>494</v>
      </c>
      <c r="E808" t="s">
        <v>8</v>
      </c>
      <c r="F808" s="1">
        <f>F806</f>
        <v>7.7980413972491105</v>
      </c>
      <c r="G808" s="1">
        <f t="shared" ref="G808:K808" si="545">G806</f>
        <v>8.0801452520147929</v>
      </c>
      <c r="H808" s="1">
        <f t="shared" si="545"/>
        <v>5.6082745555151696</v>
      </c>
      <c r="I808" s="1">
        <f t="shared" si="545"/>
        <v>5.5456281515832799</v>
      </c>
      <c r="J808" s="1">
        <f t="shared" si="545"/>
        <v>5.455347124631297</v>
      </c>
      <c r="K808" s="1">
        <f t="shared" si="545"/>
        <v>5.3999812577976725</v>
      </c>
    </row>
    <row r="809" spans="2:11" x14ac:dyDescent="0.25">
      <c r="B809" s="5" t="str">
        <f t="shared" si="504"/>
        <v>SPS4</v>
      </c>
      <c r="C809" s="5" t="str">
        <f t="shared" ref="C809:C810" si="546">C808</f>
        <v>CH</v>
      </c>
      <c r="D809" t="s">
        <v>956</v>
      </c>
      <c r="E809" t="s">
        <v>8</v>
      </c>
      <c r="F809" s="1">
        <f>[1]Industry!B$22</f>
        <v>6.7634770168768135E-2</v>
      </c>
      <c r="G809" s="1">
        <f>[1]Industry!C$22</f>
        <v>8.5491573412392122E-2</v>
      </c>
      <c r="H809" s="1">
        <f>[1]Industry!D$22</f>
        <v>8.4119322796834428E-2</v>
      </c>
      <c r="I809" s="1">
        <f>[1]Industry!E$22</f>
        <v>8.5138658315977472E-2</v>
      </c>
      <c r="J809" s="1">
        <f>[1]Industry!F$22</f>
        <v>8.2465510557872726E-2</v>
      </c>
      <c r="K809" s="1">
        <f>[1]Industry!G$22</f>
        <v>8.4182150940405459E-2</v>
      </c>
    </row>
    <row r="810" spans="2:11" x14ac:dyDescent="0.25">
      <c r="B810" s="5" t="str">
        <f t="shared" si="504"/>
        <v>SPS4</v>
      </c>
      <c r="C810" s="5" t="str">
        <f t="shared" si="546"/>
        <v>CH</v>
      </c>
      <c r="D810" t="s">
        <v>957</v>
      </c>
      <c r="E810" t="s">
        <v>8</v>
      </c>
      <c r="F810" s="1">
        <f>F809</f>
        <v>6.7634770168768135E-2</v>
      </c>
      <c r="G810" s="1">
        <f t="shared" ref="G810:K810" si="547">G809</f>
        <v>8.5491573412392122E-2</v>
      </c>
      <c r="H810" s="1">
        <f t="shared" si="547"/>
        <v>8.4119322796834428E-2</v>
      </c>
      <c r="I810" s="1">
        <f t="shared" si="547"/>
        <v>8.5138658315977472E-2</v>
      </c>
      <c r="J810" s="1">
        <f t="shared" si="547"/>
        <v>8.2465510557872726E-2</v>
      </c>
      <c r="K810" s="1">
        <f t="shared" si="547"/>
        <v>8.4182150940405459E-2</v>
      </c>
    </row>
    <row r="811" spans="2:11" x14ac:dyDescent="0.25">
      <c r="B811" s="5" t="str">
        <f t="shared" si="504"/>
        <v>SPS4</v>
      </c>
      <c r="C811" s="5" t="str">
        <f t="shared" ref="C811:C812" si="548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1.9382326452868723E-2</v>
      </c>
      <c r="I811" s="1">
        <f>[1]Industry!E$23</f>
        <v>0.42925742277327278</v>
      </c>
      <c r="J811" s="1">
        <f>[1]Industry!F$23</f>
        <v>3.3150926618724195</v>
      </c>
      <c r="K811" s="1">
        <f>[1]Industry!G$23</f>
        <v>8.1213773069118691</v>
      </c>
    </row>
    <row r="812" spans="2:11" x14ac:dyDescent="0.25">
      <c r="B812" s="5" t="str">
        <f t="shared" si="504"/>
        <v>SPS4</v>
      </c>
      <c r="C812" s="5" t="str">
        <f t="shared" si="548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49">G811</f>
        <v>0</v>
      </c>
      <c r="H812" s="1">
        <f t="shared" si="549"/>
        <v>1.9382326452868723E-2</v>
      </c>
      <c r="I812" s="1">
        <f t="shared" si="549"/>
        <v>0.42925742277327278</v>
      </c>
      <c r="J812" s="1">
        <f t="shared" si="549"/>
        <v>3.3150926618724195</v>
      </c>
      <c r="K812" s="1">
        <f t="shared" si="549"/>
        <v>8.1213773069118691</v>
      </c>
    </row>
    <row r="813" spans="2:11" x14ac:dyDescent="0.25">
      <c r="B813" s="5" t="str">
        <f t="shared" si="504"/>
        <v>SPS4</v>
      </c>
      <c r="C813" s="5" t="str">
        <f t="shared" ref="C813:C814" si="550">C812</f>
        <v>CH</v>
      </c>
      <c r="D813" t="s">
        <v>960</v>
      </c>
      <c r="E813" t="s">
        <v>8</v>
      </c>
      <c r="F813" s="1">
        <f>[1]Industry!B$24</f>
        <v>0.74847408204608001</v>
      </c>
      <c r="G813" s="1">
        <f>[1]Industry!C$24</f>
        <v>0.9497295571193668</v>
      </c>
      <c r="H813" s="1">
        <f>[1]Industry!D$24</f>
        <v>1.4790986460532356</v>
      </c>
      <c r="I813" s="1">
        <f>[1]Industry!E$24</f>
        <v>1.6490185039910898</v>
      </c>
      <c r="J813" s="1">
        <f>[1]Industry!F$24</f>
        <v>2.6826069749749442</v>
      </c>
      <c r="K813" s="1">
        <f>[1]Industry!G$24</f>
        <v>2.7306700948437173</v>
      </c>
    </row>
    <row r="814" spans="2:11" x14ac:dyDescent="0.25">
      <c r="B814" s="5" t="str">
        <f t="shared" si="504"/>
        <v>SPS4</v>
      </c>
      <c r="C814" s="5" t="str">
        <f t="shared" si="550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0.74847408204608001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0.9497295571193668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1.4768825018952043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1.6462459313843127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2.622194219864987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2.6762928806772934</v>
      </c>
    </row>
    <row r="815" spans="2:11" x14ac:dyDescent="0.25">
      <c r="B815" s="5" t="str">
        <f t="shared" si="504"/>
        <v>SPS4</v>
      </c>
      <c r="C815" s="5" t="str">
        <f t="shared" ref="C815:C823" si="551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52">G813-G814</f>
        <v>0</v>
      </c>
      <c r="H815" s="1">
        <f t="shared" si="552"/>
        <v>2.2161441580312857E-3</v>
      </c>
      <c r="I815" s="1">
        <f t="shared" si="552"/>
        <v>2.7725726067771017E-3</v>
      </c>
      <c r="J815" s="1">
        <f t="shared" si="552"/>
        <v>6.0412755109957139E-2</v>
      </c>
      <c r="K815" s="1">
        <f t="shared" si="552"/>
        <v>5.4377214166423826E-2</v>
      </c>
    </row>
    <row r="816" spans="2:11" x14ac:dyDescent="0.25">
      <c r="B816" s="9" t="str">
        <f t="shared" si="504"/>
        <v>SPS4</v>
      </c>
      <c r="C816" s="9" t="str">
        <f t="shared" si="551"/>
        <v>CH</v>
      </c>
      <c r="D816" s="2" t="s">
        <v>684</v>
      </c>
      <c r="E816" s="9" t="s">
        <v>8</v>
      </c>
      <c r="F816" s="17">
        <f>[1]Industry!B$71</f>
        <v>72.708225125558187</v>
      </c>
      <c r="G816" s="17">
        <f>[1]Industry!C$71</f>
        <v>74.111259381089766</v>
      </c>
      <c r="H816" s="17">
        <f>[1]Industry!D$71</f>
        <v>76.032380312694002</v>
      </c>
      <c r="I816" s="17">
        <f>[1]Industry!E$71</f>
        <v>77.110626941559516</v>
      </c>
      <c r="J816" s="17">
        <f>[1]Industry!F$71</f>
        <v>77.272160944943309</v>
      </c>
      <c r="K816" s="17">
        <f>[1]Industry!G$71</f>
        <v>77.291307170857564</v>
      </c>
    </row>
    <row r="817" spans="2:13" x14ac:dyDescent="0.25">
      <c r="B817" s="5" t="str">
        <f t="shared" si="504"/>
        <v>SPS4</v>
      </c>
      <c r="C817" s="5" t="str">
        <f t="shared" si="551"/>
        <v>CH</v>
      </c>
      <c r="D817" t="s">
        <v>2032</v>
      </c>
      <c r="E817" t="s">
        <v>8</v>
      </c>
      <c r="F817" s="18">
        <f>SUM(F818:F820)</f>
        <v>58.985438665556757</v>
      </c>
      <c r="G817" s="18">
        <f t="shared" ref="G817:K817" si="553">SUM(G818:G820)</f>
        <v>61.541625121473146</v>
      </c>
      <c r="H817" s="18">
        <f t="shared" si="553"/>
        <v>65.059300257118466</v>
      </c>
      <c r="I817" s="18">
        <f t="shared" si="553"/>
        <v>66.712545926865204</v>
      </c>
      <c r="J817" s="18">
        <f t="shared" si="553"/>
        <v>69.670907848092867</v>
      </c>
      <c r="K817" s="18">
        <f t="shared" si="553"/>
        <v>71.238961138400214</v>
      </c>
    </row>
    <row r="818" spans="2:13" x14ac:dyDescent="0.25">
      <c r="B818" s="5" t="str">
        <f t="shared" si="504"/>
        <v>SPS4</v>
      </c>
      <c r="C818" s="5" t="str">
        <f t="shared" si="551"/>
        <v>CH</v>
      </c>
      <c r="D818" t="s">
        <v>2033</v>
      </c>
      <c r="E818" t="s">
        <v>8</v>
      </c>
      <c r="F818" s="1">
        <f>[1]Industry!B$55</f>
        <v>9.8138931158801093</v>
      </c>
      <c r="G818" s="1">
        <f>[1]Industry!C$55</f>
        <v>10.33508287827204</v>
      </c>
      <c r="H818" s="1">
        <f>[1]Industry!D$55</f>
        <v>11.332130181103752</v>
      </c>
      <c r="I818" s="1">
        <f>[1]Industry!E$55</f>
        <v>11.332129940420533</v>
      </c>
      <c r="J818" s="1">
        <f>[1]Industry!F$55</f>
        <v>11.332145627955574</v>
      </c>
      <c r="K818" s="1">
        <f>[1]Industry!G$55</f>
        <v>11.33214418418156</v>
      </c>
      <c r="L818" s="1"/>
      <c r="M818" s="1"/>
    </row>
    <row r="819" spans="2:13" x14ac:dyDescent="0.25">
      <c r="B819" s="5" t="str">
        <f t="shared" si="504"/>
        <v>SPS4</v>
      </c>
      <c r="C819" s="5" t="str">
        <f t="shared" si="551"/>
        <v>CH</v>
      </c>
      <c r="D819" t="s">
        <v>2034</v>
      </c>
      <c r="E819" t="s">
        <v>8</v>
      </c>
      <c r="F819" s="1">
        <f>[1]Industry!B$56</f>
        <v>1.1081478975056465</v>
      </c>
      <c r="G819" s="1">
        <f>[1]Industry!C$56</f>
        <v>1.4007923224751331</v>
      </c>
      <c r="H819" s="1">
        <f>[1]Industry!D$56</f>
        <v>2.1662499520377168</v>
      </c>
      <c r="I819" s="1">
        <f>[1]Industry!E$56</f>
        <v>2.3932605599006065</v>
      </c>
      <c r="J819" s="1">
        <f>[1]Industry!F$56</f>
        <v>3.7492667899094263</v>
      </c>
      <c r="K819" s="1">
        <f>[1]Industry!G$56</f>
        <v>3.7689518448340236</v>
      </c>
    </row>
    <row r="820" spans="2:13" x14ac:dyDescent="0.25">
      <c r="B820" s="5" t="str">
        <f t="shared" ref="B820:B883" si="554">B819</f>
        <v>SPS4</v>
      </c>
      <c r="C820" s="5" t="str">
        <f t="shared" si="551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49.805749920725972</v>
      </c>
      <c r="H820" s="1">
        <f>[1]Industry!D$3-([1]Industry!D$6-[1]Industry!D$70)</f>
        <v>51.560920123976999</v>
      </c>
      <c r="I820" s="1">
        <f>[1]Industry!E$3-([1]Industry!E$6-[1]Industry!E$70)</f>
        <v>52.987155426544071</v>
      </c>
      <c r="J820" s="1">
        <f>[1]Industry!F$3-([1]Industry!F$6-[1]Industry!F$70)</f>
        <v>54.589495430227871</v>
      </c>
      <c r="K820" s="1">
        <f>[1]Industry!G$3-([1]Industry!G$6-[1]Industry!G$70)</f>
        <v>56.137865109384634</v>
      </c>
    </row>
    <row r="821" spans="2:13" x14ac:dyDescent="0.25">
      <c r="B821" s="5" t="str">
        <f t="shared" si="554"/>
        <v>SPS4</v>
      </c>
      <c r="C821" s="5" t="str">
        <f t="shared" si="551"/>
        <v>CH</v>
      </c>
      <c r="D821" t="s">
        <v>2036</v>
      </c>
      <c r="E821" t="s">
        <v>8</v>
      </c>
      <c r="F821" s="1">
        <f>SUM(F822:F823)</f>
        <v>8.7635274801758882</v>
      </c>
      <c r="G821" s="1">
        <f t="shared" ref="G821:K821" si="555">SUM(G822:G823)</f>
        <v>6.2242110130830239</v>
      </c>
      <c r="H821" s="1">
        <f t="shared" si="555"/>
        <v>6.2242069367454782</v>
      </c>
      <c r="I821" s="1">
        <f t="shared" si="555"/>
        <v>5.0970446933609184</v>
      </c>
      <c r="J821" s="1">
        <f t="shared" si="555"/>
        <v>2.6370122450590885</v>
      </c>
      <c r="K821" s="1">
        <f t="shared" si="555"/>
        <v>0.19961414341460293</v>
      </c>
    </row>
    <row r="822" spans="2:13" x14ac:dyDescent="0.25">
      <c r="B822" s="5" t="str">
        <f t="shared" si="554"/>
        <v>SPS4</v>
      </c>
      <c r="C822" s="5" t="str">
        <f t="shared" si="551"/>
        <v>CH</v>
      </c>
      <c r="D822" t="s">
        <v>2037</v>
      </c>
      <c r="E822" t="s">
        <v>8</v>
      </c>
      <c r="F822" s="1">
        <f>[1]Industry!B$57</f>
        <v>6.9177055228208051</v>
      </c>
      <c r="G822" s="1">
        <f>[1]Industry!C$57</f>
        <v>6.2240588989655175</v>
      </c>
      <c r="H822" s="1">
        <f>[1]Industry!D$57</f>
        <v>6.2237577928780157</v>
      </c>
      <c r="I822" s="1">
        <f>[1]Industry!E$57</f>
        <v>5.0967417802368509</v>
      </c>
      <c r="J822" s="1">
        <f>[1]Industry!F$57</f>
        <v>2.6367623685818598</v>
      </c>
      <c r="K822" s="1">
        <f>[1]Industry!G$57</f>
        <v>0.19961414341460293</v>
      </c>
    </row>
    <row r="823" spans="2:13" x14ac:dyDescent="0.25">
      <c r="B823" s="5" t="str">
        <f t="shared" si="554"/>
        <v>SPS4</v>
      </c>
      <c r="C823" s="5" t="str">
        <f t="shared" si="551"/>
        <v>CH</v>
      </c>
      <c r="D823" t="s">
        <v>2038</v>
      </c>
      <c r="E823" t="s">
        <v>8</v>
      </c>
      <c r="F823" s="1">
        <f>[1]Industry!B$58</f>
        <v>1.8458219573550838</v>
      </c>
      <c r="G823" s="1">
        <f>[1]Industry!C$58</f>
        <v>1.5211411750653682E-4</v>
      </c>
      <c r="H823" s="1">
        <f>[1]Industry!D$58</f>
        <v>4.4914386746271358E-4</v>
      </c>
      <c r="I823" s="1">
        <f>[1]Industry!E$58</f>
        <v>3.0291312406761879E-4</v>
      </c>
      <c r="J823" s="1">
        <f>[1]Industry!F$58</f>
        <v>2.4987647722882048E-4</v>
      </c>
      <c r="K823" s="1">
        <f>[1]Industry!G$58</f>
        <v>0</v>
      </c>
    </row>
    <row r="824" spans="2:13" x14ac:dyDescent="0.25">
      <c r="B824" s="5" t="str">
        <f t="shared" si="554"/>
        <v>SPS4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28.930281775224778</v>
      </c>
      <c r="G824" s="1">
        <f t="shared" ref="G824:K824" si="556">SUM(G825:G827)</f>
        <v>25.891700167194745</v>
      </c>
      <c r="H824" s="1">
        <f t="shared" si="556"/>
        <v>28.081876291905772</v>
      </c>
      <c r="I824" s="1">
        <f t="shared" si="556"/>
        <v>28.951984484502347</v>
      </c>
      <c r="J824" s="1">
        <f t="shared" si="556"/>
        <v>18.746058152438362</v>
      </c>
      <c r="K824" s="1">
        <f t="shared" si="556"/>
        <v>13.274588769244735</v>
      </c>
    </row>
    <row r="825" spans="2:13" x14ac:dyDescent="0.25">
      <c r="B825" s="5" t="str">
        <f t="shared" si="554"/>
        <v>SPS4</v>
      </c>
      <c r="C825" s="5" t="str">
        <f t="shared" ref="C825:C854" si="557">C824</f>
        <v>CH</v>
      </c>
      <c r="D825" t="s">
        <v>2040</v>
      </c>
      <c r="E825" t="s">
        <v>8</v>
      </c>
      <c r="F825" s="1">
        <f>[1]Industry!B$59</f>
        <v>28.61976964699998</v>
      </c>
      <c r="G825" s="1">
        <f>[1]Industry!C$59</f>
        <v>25.49918177962854</v>
      </c>
      <c r="H825" s="1">
        <f>[1]Industry!D$59</f>
        <v>26.36821093356928</v>
      </c>
      <c r="I825" s="1">
        <f>[1]Industry!E$59</f>
        <v>24.840823396027435</v>
      </c>
      <c r="J825" s="1">
        <f>[1]Industry!F$59</f>
        <v>12.739168377607186</v>
      </c>
      <c r="K825" s="1">
        <f>[1]Industry!G$59</f>
        <v>6.6546885825279434</v>
      </c>
    </row>
    <row r="826" spans="2:13" x14ac:dyDescent="0.25">
      <c r="B826" s="5" t="str">
        <f t="shared" si="554"/>
        <v>SPS4</v>
      </c>
      <c r="C826" s="5" t="str">
        <f t="shared" si="557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4.719062565109758E-3</v>
      </c>
      <c r="I826" s="1">
        <f>[1]Industry!E$60</f>
        <v>5.7788535062596605E-3</v>
      </c>
      <c r="J826" s="1">
        <f>[1]Industry!F$60</f>
        <v>0.12107228043081686</v>
      </c>
      <c r="K826" s="1">
        <f>[1]Industry!G$60</f>
        <v>0.10521586667270151</v>
      </c>
    </row>
    <row r="827" spans="2:13" x14ac:dyDescent="0.25">
      <c r="B827" s="5" t="str">
        <f t="shared" si="554"/>
        <v>SPS4</v>
      </c>
      <c r="C827" s="5" t="str">
        <f t="shared" si="557"/>
        <v>CH</v>
      </c>
      <c r="D827" t="s">
        <v>2042</v>
      </c>
      <c r="E827" t="s">
        <v>8</v>
      </c>
      <c r="F827" s="1">
        <f>[1]Industry!B$68</f>
        <v>0.3105121282247954</v>
      </c>
      <c r="G827" s="1">
        <f>[1]Industry!C$68</f>
        <v>0.39251838756620644</v>
      </c>
      <c r="H827" s="1">
        <f>[1]Industry!D$68</f>
        <v>1.7089462957713817</v>
      </c>
      <c r="I827" s="1">
        <f>[1]Industry!E$68</f>
        <v>4.1053822349686504</v>
      </c>
      <c r="J827" s="1">
        <f>[1]Industry!F$68</f>
        <v>5.8858174944003609</v>
      </c>
      <c r="K827" s="1">
        <f>[1]Industry!G$68</f>
        <v>6.5146843200440898</v>
      </c>
    </row>
    <row r="828" spans="2:13" x14ac:dyDescent="0.25">
      <c r="B828" s="5" t="str">
        <f t="shared" si="554"/>
        <v>SPS4</v>
      </c>
      <c r="C828" s="5" t="str">
        <f t="shared" si="557"/>
        <v>CH</v>
      </c>
      <c r="D828" t="s">
        <v>2043</v>
      </c>
      <c r="E828" t="s">
        <v>8</v>
      </c>
      <c r="F828" s="1">
        <f>F829</f>
        <v>2.3674007783936641</v>
      </c>
      <c r="G828" s="1">
        <f t="shared" ref="G828:K828" si="558">G829</f>
        <v>2.307501230358997</v>
      </c>
      <c r="H828" s="1">
        <f t="shared" si="558"/>
        <v>2.1530813441776129</v>
      </c>
      <c r="I828" s="1">
        <f t="shared" si="558"/>
        <v>5.113663491922879E-4</v>
      </c>
      <c r="J828" s="1">
        <f t="shared" si="558"/>
        <v>2.2523594753757293E-4</v>
      </c>
      <c r="K828" s="1">
        <f t="shared" si="558"/>
        <v>6.5093292370777526E-5</v>
      </c>
    </row>
    <row r="829" spans="2:13" x14ac:dyDescent="0.25">
      <c r="B829" s="5" t="str">
        <f t="shared" si="554"/>
        <v>SPS4</v>
      </c>
      <c r="C829" s="5" t="str">
        <f t="shared" si="557"/>
        <v>CH</v>
      </c>
      <c r="D829" t="s">
        <v>2044</v>
      </c>
      <c r="E829" t="s">
        <v>8</v>
      </c>
      <c r="F829" s="1">
        <f>[1]Industry!B$61</f>
        <v>2.3674007783936641</v>
      </c>
      <c r="G829" s="1">
        <f>[1]Industry!C$61</f>
        <v>2.307501230358997</v>
      </c>
      <c r="H829" s="1">
        <f>[1]Industry!D$61</f>
        <v>2.1530813441776129</v>
      </c>
      <c r="I829" s="1">
        <f>[1]Industry!E$61</f>
        <v>5.113663491922879E-4</v>
      </c>
      <c r="J829" s="1">
        <f>[1]Industry!F$61</f>
        <v>2.2523594753757293E-4</v>
      </c>
      <c r="K829" s="1">
        <f>[1]Industry!G$61</f>
        <v>6.5093292370777526E-5</v>
      </c>
    </row>
    <row r="830" spans="2:13" x14ac:dyDescent="0.25">
      <c r="B830" s="5" t="str">
        <f t="shared" si="554"/>
        <v>SPS4</v>
      </c>
      <c r="C830" s="5" t="str">
        <f t="shared" si="557"/>
        <v>CH</v>
      </c>
      <c r="D830" t="s">
        <v>2045</v>
      </c>
      <c r="E830" t="s">
        <v>8</v>
      </c>
      <c r="F830" s="1">
        <f>F831+F841</f>
        <v>11.767336012439063</v>
      </c>
      <c r="G830" s="1">
        <f t="shared" ref="G830:K830" si="559">G831+G841</f>
        <v>12.635411334993877</v>
      </c>
      <c r="H830" s="1">
        <f t="shared" si="559"/>
        <v>12.52405746217323</v>
      </c>
      <c r="I830" s="1">
        <f t="shared" si="559"/>
        <v>15.053275106930769</v>
      </c>
      <c r="J830" s="1">
        <f t="shared" si="559"/>
        <v>20.356250531945083</v>
      </c>
      <c r="K830" s="1">
        <f t="shared" si="559"/>
        <v>24.384228367976235</v>
      </c>
    </row>
    <row r="831" spans="2:13" x14ac:dyDescent="0.25">
      <c r="B831" s="5" t="str">
        <f t="shared" si="554"/>
        <v>SPS4</v>
      </c>
      <c r="C831" s="5" t="str">
        <f t="shared" si="557"/>
        <v>CH</v>
      </c>
      <c r="D831" t="s">
        <v>2046</v>
      </c>
      <c r="E831" t="s">
        <v>8</v>
      </c>
      <c r="F831" s="1">
        <f>[1]Industry!B$62</f>
        <v>5.1850592030586737</v>
      </c>
      <c r="G831" s="1">
        <f>[1]Industry!C$62</f>
        <v>5.5675603674967764</v>
      </c>
      <c r="H831" s="1">
        <f>[1]Industry!D$62</f>
        <v>5.6771976070966881</v>
      </c>
      <c r="I831" s="1">
        <f>[1]Industry!E$62</f>
        <v>7.1924558370918161</v>
      </c>
      <c r="J831" s="1">
        <f>[1]Industry!F$62</f>
        <v>10.724967376132343</v>
      </c>
      <c r="K831" s="1">
        <f>[1]Industry!G$62</f>
        <v>12.97248323892901</v>
      </c>
      <c r="M831" s="1"/>
    </row>
    <row r="832" spans="2:13" x14ac:dyDescent="0.25">
      <c r="B832" s="5" t="str">
        <f t="shared" si="554"/>
        <v>SPS4</v>
      </c>
      <c r="C832" s="5" t="str">
        <f t="shared" si="557"/>
        <v>CH</v>
      </c>
      <c r="D832" t="s">
        <v>2047</v>
      </c>
      <c r="E832" t="s">
        <v>8</v>
      </c>
      <c r="F832" s="1">
        <f>IFERROR(F791/F$790,0)*F$831</f>
        <v>1.1227746036899791</v>
      </c>
      <c r="G832" s="1">
        <f t="shared" ref="G832:K832" si="560">IFERROR(G791/G$790,0)*G$831</f>
        <v>1.9717540617854905</v>
      </c>
      <c r="H832" s="1">
        <f t="shared" si="560"/>
        <v>0.60701108064069464</v>
      </c>
      <c r="I832" s="1">
        <f t="shared" si="560"/>
        <v>1.2840478110779907</v>
      </c>
      <c r="J832" s="1">
        <f t="shared" si="560"/>
        <v>5.2377706827087818E-2</v>
      </c>
      <c r="K832" s="1">
        <f t="shared" si="560"/>
        <v>7.6741374393999737E-2</v>
      </c>
    </row>
    <row r="833" spans="2:13" x14ac:dyDescent="0.25">
      <c r="B833" s="5" t="str">
        <f t="shared" si="554"/>
        <v>SPS4</v>
      </c>
      <c r="C833" s="5" t="str">
        <f t="shared" si="557"/>
        <v>CH</v>
      </c>
      <c r="D833" t="s">
        <v>2048</v>
      </c>
      <c r="E833" t="s">
        <v>8</v>
      </c>
      <c r="F833" s="1">
        <f t="shared" ref="F833:K840" si="561">IFERROR(F792/F$790,0)*F$831</f>
        <v>0.9278554016061944</v>
      </c>
      <c r="G833" s="1">
        <f t="shared" si="561"/>
        <v>9.8808294118652551E-2</v>
      </c>
      <c r="H833" s="1">
        <f t="shared" si="561"/>
        <v>6.1833227010790442E-2</v>
      </c>
      <c r="I833" s="1">
        <f t="shared" si="561"/>
        <v>0.33516836060911992</v>
      </c>
      <c r="J833" s="1">
        <f t="shared" si="561"/>
        <v>5.5217263698592846E-2</v>
      </c>
      <c r="K833" s="1">
        <f t="shared" si="561"/>
        <v>1.4997639544022079E-2</v>
      </c>
    </row>
    <row r="834" spans="2:13" x14ac:dyDescent="0.25">
      <c r="B834" s="5" t="str">
        <f t="shared" si="554"/>
        <v>SPS4</v>
      </c>
      <c r="C834" s="5" t="str">
        <f t="shared" si="557"/>
        <v>CH</v>
      </c>
      <c r="D834" t="s">
        <v>2049</v>
      </c>
      <c r="E834" t="s">
        <v>8</v>
      </c>
      <c r="F834" s="1">
        <f t="shared" si="561"/>
        <v>0</v>
      </c>
      <c r="G834" s="1">
        <f t="shared" si="561"/>
        <v>0</v>
      </c>
      <c r="H834" s="1">
        <f t="shared" si="561"/>
        <v>0</v>
      </c>
      <c r="I834" s="1">
        <f t="shared" si="561"/>
        <v>0</v>
      </c>
      <c r="J834" s="1">
        <f t="shared" si="561"/>
        <v>0</v>
      </c>
      <c r="K834" s="1">
        <f t="shared" si="561"/>
        <v>0</v>
      </c>
    </row>
    <row r="835" spans="2:13" x14ac:dyDescent="0.25">
      <c r="B835" s="5" t="str">
        <f t="shared" si="554"/>
        <v>SPS4</v>
      </c>
      <c r="C835" s="5" t="str">
        <f t="shared" si="557"/>
        <v>CH</v>
      </c>
      <c r="D835" t="s">
        <v>2050</v>
      </c>
      <c r="E835" t="s">
        <v>8</v>
      </c>
      <c r="F835" s="1">
        <f t="shared" si="561"/>
        <v>0</v>
      </c>
      <c r="G835" s="1">
        <f t="shared" si="561"/>
        <v>0</v>
      </c>
      <c r="H835" s="1">
        <f t="shared" si="561"/>
        <v>0</v>
      </c>
      <c r="I835" s="1">
        <f t="shared" si="561"/>
        <v>1.6561666304248734E-4</v>
      </c>
      <c r="J835" s="1">
        <f t="shared" si="561"/>
        <v>7.8900285401282944E-4</v>
      </c>
      <c r="K835" s="1">
        <f t="shared" si="561"/>
        <v>5.5016674681034256E-4</v>
      </c>
    </row>
    <row r="836" spans="2:13" x14ac:dyDescent="0.25">
      <c r="B836" s="5" t="str">
        <f t="shared" si="554"/>
        <v>SPS4</v>
      </c>
      <c r="C836" s="5" t="str">
        <f t="shared" si="557"/>
        <v>CH</v>
      </c>
      <c r="D836" t="s">
        <v>2051</v>
      </c>
      <c r="E836" t="s">
        <v>8</v>
      </c>
      <c r="F836" s="1">
        <f t="shared" si="561"/>
        <v>2.3375501949916404</v>
      </c>
      <c r="G836" s="1">
        <f t="shared" si="561"/>
        <v>1.7700292269467748</v>
      </c>
      <c r="H836" s="1">
        <f t="shared" si="561"/>
        <v>2.403491306123632</v>
      </c>
      <c r="I836" s="1">
        <f t="shared" si="561"/>
        <v>2.1894609978254453</v>
      </c>
      <c r="J836" s="1">
        <f t="shared" si="561"/>
        <v>1.5635090516406469</v>
      </c>
      <c r="K836" s="1">
        <f t="shared" si="561"/>
        <v>1.0440259899484934</v>
      </c>
    </row>
    <row r="837" spans="2:13" x14ac:dyDescent="0.25">
      <c r="B837" s="5" t="str">
        <f t="shared" si="554"/>
        <v>SPS4</v>
      </c>
      <c r="C837" s="5" t="str">
        <f t="shared" si="557"/>
        <v>CH</v>
      </c>
      <c r="D837" t="s">
        <v>2052</v>
      </c>
      <c r="E837" t="s">
        <v>8</v>
      </c>
      <c r="F837" s="1">
        <f t="shared" si="561"/>
        <v>0</v>
      </c>
      <c r="G837" s="1">
        <f t="shared" si="561"/>
        <v>0</v>
      </c>
      <c r="H837" s="1">
        <f t="shared" si="561"/>
        <v>0</v>
      </c>
      <c r="I837" s="1">
        <f t="shared" si="561"/>
        <v>0</v>
      </c>
      <c r="J837" s="1">
        <f t="shared" si="561"/>
        <v>0</v>
      </c>
      <c r="K837" s="1">
        <f t="shared" si="561"/>
        <v>0</v>
      </c>
    </row>
    <row r="838" spans="2:13" x14ac:dyDescent="0.25">
      <c r="B838" s="5" t="str">
        <f t="shared" si="554"/>
        <v>SPS4</v>
      </c>
      <c r="C838" s="5" t="str">
        <f t="shared" si="557"/>
        <v>CH</v>
      </c>
      <c r="D838" t="s">
        <v>2053</v>
      </c>
      <c r="E838" t="s">
        <v>8</v>
      </c>
      <c r="F838" s="1">
        <f t="shared" si="561"/>
        <v>0.79687900277085955</v>
      </c>
      <c r="G838" s="1">
        <f t="shared" si="561"/>
        <v>1.7269687846458577</v>
      </c>
      <c r="H838" s="1">
        <f t="shared" si="561"/>
        <v>2.6048619933215709</v>
      </c>
      <c r="I838" s="1">
        <f t="shared" si="561"/>
        <v>3.3818895528538979</v>
      </c>
      <c r="J838" s="1">
        <f t="shared" si="561"/>
        <v>9.0435594776481807</v>
      </c>
      <c r="K838" s="1">
        <f t="shared" si="561"/>
        <v>11.813875794728549</v>
      </c>
    </row>
    <row r="839" spans="2:13" x14ac:dyDescent="0.25">
      <c r="B839" s="5" t="str">
        <f t="shared" si="554"/>
        <v>SPS4</v>
      </c>
      <c r="C839" s="5" t="str">
        <f t="shared" si="557"/>
        <v>CH</v>
      </c>
      <c r="D839" t="s">
        <v>2054</v>
      </c>
      <c r="E839" t="s">
        <v>8</v>
      </c>
      <c r="F839" s="1">
        <f t="shared" si="561"/>
        <v>0</v>
      </c>
      <c r="G839" s="1">
        <f t="shared" si="561"/>
        <v>0</v>
      </c>
      <c r="H839" s="1">
        <f t="shared" si="561"/>
        <v>0</v>
      </c>
      <c r="I839" s="1">
        <f t="shared" si="561"/>
        <v>0</v>
      </c>
      <c r="J839" s="1">
        <f t="shared" si="561"/>
        <v>0</v>
      </c>
      <c r="K839" s="1">
        <f t="shared" si="561"/>
        <v>0</v>
      </c>
    </row>
    <row r="840" spans="2:13" x14ac:dyDescent="0.25">
      <c r="B840" s="5" t="str">
        <f t="shared" si="554"/>
        <v>SPS4</v>
      </c>
      <c r="C840" s="5" t="str">
        <f t="shared" si="557"/>
        <v>CH</v>
      </c>
      <c r="D840" t="s">
        <v>2055</v>
      </c>
      <c r="E840" t="s">
        <v>8</v>
      </c>
      <c r="F840" s="1">
        <f t="shared" si="561"/>
        <v>0</v>
      </c>
      <c r="G840" s="1">
        <f t="shared" si="561"/>
        <v>0</v>
      </c>
      <c r="H840" s="1">
        <f t="shared" si="561"/>
        <v>0</v>
      </c>
      <c r="I840" s="1">
        <f t="shared" si="561"/>
        <v>1.7234980623201492E-3</v>
      </c>
      <c r="J840" s="1">
        <f t="shared" si="561"/>
        <v>9.5148734638224892E-3</v>
      </c>
      <c r="K840" s="1">
        <f t="shared" si="561"/>
        <v>2.2292273567136235E-2</v>
      </c>
      <c r="M840" s="1"/>
    </row>
    <row r="841" spans="2:13" x14ac:dyDescent="0.25">
      <c r="B841" s="5" t="str">
        <f t="shared" si="554"/>
        <v>SPS4</v>
      </c>
      <c r="C841" s="5" t="str">
        <f t="shared" si="557"/>
        <v>CH</v>
      </c>
      <c r="D841" t="s">
        <v>2056</v>
      </c>
      <c r="E841" t="s">
        <v>8</v>
      </c>
      <c r="F841" s="1">
        <f>[1]Industry!B$63</f>
        <v>6.5822768093803887</v>
      </c>
      <c r="G841" s="1">
        <f>[1]Industry!C$63</f>
        <v>7.0678509674971011</v>
      </c>
      <c r="H841" s="1">
        <f>[1]Industry!D$63</f>
        <v>6.8468598550765423</v>
      </c>
      <c r="I841" s="1">
        <f>[1]Industry!E$63</f>
        <v>7.8608192698389523</v>
      </c>
      <c r="J841" s="1">
        <f>[1]Industry!F$63</f>
        <v>9.6312831558127403</v>
      </c>
      <c r="K841" s="1">
        <f>[1]Industry!G$63</f>
        <v>11.411745129047222</v>
      </c>
    </row>
    <row r="842" spans="2:13" x14ac:dyDescent="0.25">
      <c r="B842" s="5" t="str">
        <f t="shared" si="554"/>
        <v>SPS4</v>
      </c>
      <c r="C842" s="5" t="str">
        <f t="shared" si="557"/>
        <v>CH</v>
      </c>
      <c r="D842" t="s">
        <v>2057</v>
      </c>
      <c r="E842" t="s">
        <v>8</v>
      </c>
      <c r="F842" s="1">
        <f>F843</f>
        <v>5.3111190261122267</v>
      </c>
      <c r="G842" s="1">
        <f t="shared" ref="G842:K842" si="562">G843</f>
        <v>6.2669383021722505</v>
      </c>
      <c r="H842" s="1">
        <f t="shared" si="562"/>
        <v>5.8075030156520988</v>
      </c>
      <c r="I842" s="1">
        <f t="shared" si="562"/>
        <v>6.2640772323201146</v>
      </c>
      <c r="J842" s="1">
        <f t="shared" si="562"/>
        <v>9.7236242408260622</v>
      </c>
      <c r="K842" s="1">
        <f t="shared" si="562"/>
        <v>9.4640291164465822</v>
      </c>
    </row>
    <row r="843" spans="2:13" x14ac:dyDescent="0.25">
      <c r="B843" s="5" t="str">
        <f t="shared" si="554"/>
        <v>SPS4</v>
      </c>
      <c r="C843" s="5" t="str">
        <f t="shared" si="557"/>
        <v>CH</v>
      </c>
      <c r="D843" t="s">
        <v>2058</v>
      </c>
      <c r="E843" t="s">
        <v>8</v>
      </c>
      <c r="F843" s="1">
        <f>[1]Industry!B$64</f>
        <v>5.3111190261122267</v>
      </c>
      <c r="G843" s="1">
        <f>[1]Industry!C$64</f>
        <v>6.2669383021722505</v>
      </c>
      <c r="H843" s="1">
        <f>[1]Industry!D$64</f>
        <v>5.8075030156520988</v>
      </c>
      <c r="I843" s="1">
        <f>[1]Industry!E$64</f>
        <v>6.2640772323201146</v>
      </c>
      <c r="J843" s="1">
        <f>[1]Industry!F$64</f>
        <v>9.7236242408260622</v>
      </c>
      <c r="K843" s="1">
        <f>[1]Industry!G$64</f>
        <v>9.4640291164465822</v>
      </c>
    </row>
    <row r="844" spans="2:13" x14ac:dyDescent="0.25">
      <c r="B844" s="5" t="str">
        <f t="shared" si="554"/>
        <v>SPS4</v>
      </c>
      <c r="C844" s="5" t="str">
        <f t="shared" si="557"/>
        <v>CH</v>
      </c>
      <c r="D844" t="s">
        <v>2059</v>
      </c>
      <c r="E844" t="s">
        <v>8</v>
      </c>
      <c r="F844" s="1">
        <f>F845</f>
        <v>0.46151841191049769</v>
      </c>
      <c r="G844" s="1">
        <f t="shared" ref="G844:K844" si="563">G845</f>
        <v>0.54457505353748181</v>
      </c>
      <c r="H844" s="1">
        <f t="shared" si="563"/>
        <v>0.54470890751752621</v>
      </c>
      <c r="I844" s="1">
        <f t="shared" si="563"/>
        <v>0.54471152396742384</v>
      </c>
      <c r="J844" s="1">
        <f t="shared" si="563"/>
        <v>0.54471972930466128</v>
      </c>
      <c r="K844" s="1">
        <f t="shared" si="563"/>
        <v>0.54472209340530808</v>
      </c>
    </row>
    <row r="845" spans="2:13" x14ac:dyDescent="0.25">
      <c r="B845" s="5" t="str">
        <f t="shared" si="554"/>
        <v>SPS4</v>
      </c>
      <c r="C845" s="5" t="str">
        <f t="shared" si="557"/>
        <v>CH</v>
      </c>
      <c r="D845" t="s">
        <v>2060</v>
      </c>
      <c r="E845" t="s">
        <v>8</v>
      </c>
      <c r="F845" s="1">
        <f>[1]Industry!B$65</f>
        <v>0.46151841191049769</v>
      </c>
      <c r="G845" s="1">
        <f>[1]Industry!C$65</f>
        <v>0.54457505353748181</v>
      </c>
      <c r="H845" s="1">
        <f>[1]Industry!D$65</f>
        <v>0.54470890751752621</v>
      </c>
      <c r="I845" s="1">
        <f>[1]Industry!E$65</f>
        <v>0.54471152396742384</v>
      </c>
      <c r="J845" s="1">
        <f>[1]Industry!F$65</f>
        <v>0.54471972930466128</v>
      </c>
      <c r="K845" s="1">
        <f>[1]Industry!G$65</f>
        <v>0.54472209340530808</v>
      </c>
    </row>
    <row r="846" spans="2:13" x14ac:dyDescent="0.25">
      <c r="B846" s="5" t="str">
        <f t="shared" si="554"/>
        <v>SPS4</v>
      </c>
      <c r="C846" s="5" t="str">
        <f t="shared" si="557"/>
        <v>CH</v>
      </c>
      <c r="D846" t="s">
        <v>2061</v>
      </c>
      <c r="E846" t="s">
        <v>8</v>
      </c>
      <c r="F846" s="1">
        <f>F847</f>
        <v>4.1173658577475321</v>
      </c>
      <c r="G846" s="1">
        <f t="shared" ref="G846:K846" si="564">G847</f>
        <v>4.2663166930638168</v>
      </c>
      <c r="H846" s="1">
        <f t="shared" si="564"/>
        <v>2.9611689653120083</v>
      </c>
      <c r="I846" s="1">
        <f t="shared" si="564"/>
        <v>2.9280916640359713</v>
      </c>
      <c r="J846" s="1">
        <f t="shared" si="564"/>
        <v>2.8804232818053284</v>
      </c>
      <c r="K846" s="1">
        <f t="shared" si="564"/>
        <v>2.9375898042419362</v>
      </c>
    </row>
    <row r="847" spans="2:13" x14ac:dyDescent="0.25">
      <c r="B847" s="5" t="str">
        <f t="shared" si="554"/>
        <v>SPS4</v>
      </c>
      <c r="C847" s="5" t="str">
        <f t="shared" si="557"/>
        <v>CH</v>
      </c>
      <c r="D847" t="s">
        <v>2062</v>
      </c>
      <c r="E847" t="s">
        <v>8</v>
      </c>
      <c r="F847" s="1">
        <f>[1]Industry!B$66</f>
        <v>4.1173658577475321</v>
      </c>
      <c r="G847" s="1">
        <f>[1]Industry!C$66</f>
        <v>4.2663166930638168</v>
      </c>
      <c r="H847" s="1">
        <f>[1]Industry!D$66</f>
        <v>2.9611689653120083</v>
      </c>
      <c r="I847" s="1">
        <f>[1]Industry!E$66</f>
        <v>2.9280916640359713</v>
      </c>
      <c r="J847" s="1">
        <f>[1]Industry!F$66</f>
        <v>2.8804232818053284</v>
      </c>
      <c r="K847" s="1">
        <f>[1]Industry!G$66</f>
        <v>2.9375898042419362</v>
      </c>
    </row>
    <row r="848" spans="2:13" x14ac:dyDescent="0.25">
      <c r="B848" s="5" t="str">
        <f t="shared" si="554"/>
        <v>SPS4</v>
      </c>
      <c r="C848" s="5" t="str">
        <f t="shared" si="557"/>
        <v>CH</v>
      </c>
      <c r="D848" t="s">
        <v>2063</v>
      </c>
      <c r="E848" t="s">
        <v>8</v>
      </c>
      <c r="F848" s="1">
        <f>F849</f>
        <v>6.7634770168768135E-2</v>
      </c>
      <c r="G848" s="1">
        <f t="shared" ref="G848:K848" si="565">G849</f>
        <v>8.5491573412392122E-2</v>
      </c>
      <c r="H848" s="1">
        <f t="shared" si="565"/>
        <v>8.4119322796834428E-2</v>
      </c>
      <c r="I848" s="1">
        <f t="shared" si="565"/>
        <v>8.5138658315977472E-2</v>
      </c>
      <c r="J848" s="1">
        <f t="shared" si="565"/>
        <v>8.2465510557872726E-2</v>
      </c>
      <c r="K848" s="1">
        <f t="shared" si="565"/>
        <v>8.4182150940405459E-2</v>
      </c>
    </row>
    <row r="849" spans="2:11" x14ac:dyDescent="0.25">
      <c r="B849" s="5" t="str">
        <f t="shared" si="554"/>
        <v>SPS4</v>
      </c>
      <c r="C849" s="5" t="str">
        <f t="shared" si="557"/>
        <v>CH</v>
      </c>
      <c r="D849" t="s">
        <v>2064</v>
      </c>
      <c r="E849" t="s">
        <v>8</v>
      </c>
      <c r="F849" s="1">
        <f>[1]Industry!B$67</f>
        <v>6.7634770168768135E-2</v>
      </c>
      <c r="G849" s="1">
        <f>[1]Industry!C$67</f>
        <v>8.5491573412392122E-2</v>
      </c>
      <c r="H849" s="1">
        <f>[1]Industry!D$67</f>
        <v>8.4119322796834428E-2</v>
      </c>
      <c r="I849" s="1">
        <f>[1]Industry!E$67</f>
        <v>8.5138658315977472E-2</v>
      </c>
      <c r="J849" s="1">
        <f>[1]Industry!F$67</f>
        <v>8.2465510557872726E-2</v>
      </c>
      <c r="K849" s="1">
        <f>[1]Industry!G$67</f>
        <v>8.4182150940405459E-2</v>
      </c>
    </row>
    <row r="850" spans="2:11" x14ac:dyDescent="0.25">
      <c r="B850" s="5" t="str">
        <f t="shared" si="554"/>
        <v>SPS4</v>
      </c>
      <c r="C850" s="5" t="str">
        <f t="shared" si="557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66">G851</f>
        <v>0</v>
      </c>
      <c r="H850" s="1">
        <f t="shared" si="566"/>
        <v>0</v>
      </c>
      <c r="I850" s="1">
        <f t="shared" si="566"/>
        <v>0.30713761544168189</v>
      </c>
      <c r="J850" s="1">
        <f t="shared" si="566"/>
        <v>2.613058069605549</v>
      </c>
      <c r="K850" s="1">
        <f t="shared" si="566"/>
        <v>6.5448503497368637</v>
      </c>
    </row>
    <row r="851" spans="2:11" x14ac:dyDescent="0.25">
      <c r="B851" s="5" t="str">
        <f t="shared" si="554"/>
        <v>SPS4</v>
      </c>
      <c r="C851" s="5" t="str">
        <f t="shared" si="557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0.30713761544168189</v>
      </c>
      <c r="J851" s="1">
        <f>[1]Industry!F$69</f>
        <v>2.613058069605549</v>
      </c>
      <c r="K851" s="1">
        <f>[1]Industry!G$69</f>
        <v>6.5448503497368637</v>
      </c>
    </row>
    <row r="852" spans="2:11" x14ac:dyDescent="0.25">
      <c r="B852" s="5" t="str">
        <f t="shared" si="554"/>
        <v>SPS4</v>
      </c>
      <c r="C852" s="5" t="str">
        <f t="shared" si="557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67">SUM(G853:G854)</f>
        <v>4.8942717193800531</v>
      </c>
      <c r="H852" s="1">
        <f t="shared" si="567"/>
        <v>4.8942779754637771</v>
      </c>
      <c r="I852" s="1">
        <f t="shared" si="567"/>
        <v>4.8942695159552727</v>
      </c>
      <c r="J852" s="1">
        <f t="shared" si="567"/>
        <v>5.1100751881849638</v>
      </c>
      <c r="K852" s="1">
        <f t="shared" si="567"/>
        <v>5.2597766948732856</v>
      </c>
    </row>
    <row r="853" spans="2:11" x14ac:dyDescent="0.25">
      <c r="B853" s="5" t="str">
        <f t="shared" si="554"/>
        <v>SPS4</v>
      </c>
      <c r="C853" s="5" t="str">
        <f t="shared" si="557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0.74103290685405554</v>
      </c>
      <c r="H853" s="1">
        <f>[1]Industry!D$6-H854</f>
        <v>0.74100004219182036</v>
      </c>
      <c r="I853" s="1">
        <f>[1]Industry!E$6-I854</f>
        <v>0.74100541994129454</v>
      </c>
      <c r="J853" s="1">
        <f>[1]Industry!F$6-J854</f>
        <v>0.50316365859619339</v>
      </c>
      <c r="K853" s="1">
        <f>[1]Industry!G$6-K854</f>
        <v>0.50343544173033017</v>
      </c>
    </row>
    <row r="854" spans="2:11" x14ac:dyDescent="0.25">
      <c r="B854" s="5" t="str">
        <f t="shared" si="554"/>
        <v>SPS4</v>
      </c>
      <c r="C854" s="5" t="str">
        <f t="shared" si="557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4.1532388125259976</v>
      </c>
      <c r="H854" s="1">
        <f>[1]Industry!D$70</f>
        <v>4.1532779332719567</v>
      </c>
      <c r="I854" s="1">
        <f>[1]Industry!E$70</f>
        <v>4.1532640960139782</v>
      </c>
      <c r="J854" s="1">
        <f>[1]Industry!F$70</f>
        <v>4.6069115295887704</v>
      </c>
      <c r="K854" s="1">
        <f>[1]Industry!G$70</f>
        <v>4.7563412531429554</v>
      </c>
    </row>
    <row r="855" spans="2:11" x14ac:dyDescent="0.25">
      <c r="B855" s="9" t="str">
        <f t="shared" si="554"/>
        <v>SPS4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 t="shared" si="554"/>
        <v>SPS4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0.84261542941328527</v>
      </c>
      <c r="G856" s="4">
        <f t="shared" ref="G856:K856" si="568">IFERROR(G818/G763,"-")</f>
        <v>0.84306236513985344</v>
      </c>
      <c r="H856" s="4">
        <f t="shared" si="568"/>
        <v>0.84373276872970671</v>
      </c>
      <c r="I856" s="4">
        <f t="shared" si="568"/>
        <v>0.8448501080461317</v>
      </c>
      <c r="J856" s="4">
        <f t="shared" si="568"/>
        <v>0.8470847866789758</v>
      </c>
      <c r="K856" s="4">
        <f t="shared" si="568"/>
        <v>0.84931946531182223</v>
      </c>
    </row>
    <row r="857" spans="2:11" x14ac:dyDescent="0.25">
      <c r="B857" s="5" t="str">
        <f t="shared" si="554"/>
        <v>SPS4</v>
      </c>
      <c r="C857" s="5" t="str">
        <f t="shared" ref="C857:C879" si="569">C856</f>
        <v>CH</v>
      </c>
      <c r="D857" t="s">
        <v>2071</v>
      </c>
      <c r="E857" t="s">
        <v>240</v>
      </c>
      <c r="F857" s="4">
        <f t="shared" ref="F857:K857" si="570">IFERROR(F819/F764,"-")</f>
        <v>3.0809801822513307</v>
      </c>
      <c r="G857" s="4">
        <f t="shared" si="570"/>
        <v>3.105537477406914</v>
      </c>
      <c r="H857" s="4">
        <f t="shared" si="570"/>
        <v>3.1423734201402893</v>
      </c>
      <c r="I857" s="4">
        <f t="shared" si="570"/>
        <v>3.2037666580292483</v>
      </c>
      <c r="J857" s="4">
        <f t="shared" si="570"/>
        <v>3.3265531338071668</v>
      </c>
      <c r="K857" s="4">
        <f t="shared" si="570"/>
        <v>3.4493396095850892</v>
      </c>
    </row>
    <row r="858" spans="2:11" x14ac:dyDescent="0.25">
      <c r="B858" s="5" t="str">
        <f t="shared" si="554"/>
        <v>SPS4</v>
      </c>
      <c r="C858" s="5" t="str">
        <f t="shared" si="569"/>
        <v>CH</v>
      </c>
      <c r="D858" t="s">
        <v>2072</v>
      </c>
      <c r="E858" t="s">
        <v>240</v>
      </c>
      <c r="F858" s="4">
        <f t="shared" ref="F858:K858" si="571">IFERROR(F820/F765,"-")</f>
        <v>0.99999999999999989</v>
      </c>
      <c r="G858" s="4">
        <f t="shared" si="571"/>
        <v>0.99999998379165445</v>
      </c>
      <c r="H858" s="4">
        <f t="shared" si="571"/>
        <v>0.99999998445603533</v>
      </c>
      <c r="I858" s="4">
        <f t="shared" si="571"/>
        <v>1.000000758907531</v>
      </c>
      <c r="J858" s="4">
        <f t="shared" si="571"/>
        <v>1.0000025104396681</v>
      </c>
      <c r="K858" s="4">
        <f t="shared" si="571"/>
        <v>1.0022480471818223</v>
      </c>
    </row>
    <row r="859" spans="2:11" x14ac:dyDescent="0.25">
      <c r="B859" s="5" t="str">
        <f t="shared" si="554"/>
        <v>SPS4</v>
      </c>
      <c r="C859" s="5" t="str">
        <f t="shared" si="569"/>
        <v>CH</v>
      </c>
      <c r="D859" t="s">
        <v>2073</v>
      </c>
      <c r="E859" t="s">
        <v>240</v>
      </c>
      <c r="F859" s="4">
        <f>IFERROR(F822/F767,"-")</f>
        <v>0.77746213224363547</v>
      </c>
      <c r="G859" s="4">
        <f t="shared" ref="G859:K860" si="572">IFERROR(G822/G767,"-")</f>
        <v>0.77871988564932326</v>
      </c>
      <c r="H859" s="4">
        <f t="shared" si="572"/>
        <v>0.78060651575785611</v>
      </c>
      <c r="I859" s="4">
        <f t="shared" si="572"/>
        <v>0.78375089927207664</v>
      </c>
      <c r="J859" s="4">
        <f t="shared" si="572"/>
        <v>0.79003966630051881</v>
      </c>
      <c r="K859" s="4">
        <f t="shared" si="572"/>
        <v>0.79632843332896064</v>
      </c>
    </row>
    <row r="860" spans="2:11" x14ac:dyDescent="0.25">
      <c r="B860" s="5" t="str">
        <f t="shared" si="554"/>
        <v>SPS4</v>
      </c>
      <c r="C860" s="5" t="str">
        <f t="shared" si="569"/>
        <v>CH</v>
      </c>
      <c r="D860" t="s">
        <v>2074</v>
      </c>
      <c r="E860" t="s">
        <v>240</v>
      </c>
      <c r="F860" s="4">
        <f>IFERROR(F823/F768,"-")</f>
        <v>0.67612499999999998</v>
      </c>
      <c r="G860" s="4">
        <f t="shared" si="572"/>
        <v>0.67904999999999993</v>
      </c>
      <c r="H860" s="4">
        <f t="shared" si="572"/>
        <v>0.68343749999999948</v>
      </c>
      <c r="I860" s="4">
        <f t="shared" si="572"/>
        <v>0.69075000000000064</v>
      </c>
      <c r="J860" s="4">
        <f t="shared" si="572"/>
        <v>0.7053749999999992</v>
      </c>
      <c r="K860" s="4" t="str">
        <f t="shared" si="572"/>
        <v>-</v>
      </c>
    </row>
    <row r="861" spans="2:11" x14ac:dyDescent="0.25">
      <c r="B861" s="5" t="str">
        <f t="shared" si="554"/>
        <v>SPS4</v>
      </c>
      <c r="C861" s="5" t="str">
        <f t="shared" si="569"/>
        <v>CH</v>
      </c>
      <c r="D861" t="s">
        <v>2075</v>
      </c>
      <c r="E861" t="s">
        <v>240</v>
      </c>
      <c r="F861" s="4">
        <f>IFERROR(F825/F777,"-")</f>
        <v>0.80637917719021313</v>
      </c>
      <c r="G861" s="4">
        <f t="shared" ref="G861:K863" si="573">IFERROR(G825/G777,"-")</f>
        <v>0.80700430194922068</v>
      </c>
      <c r="H861" s="4">
        <f t="shared" si="573"/>
        <v>0.80718175504291045</v>
      </c>
      <c r="I861" s="4">
        <f t="shared" si="573"/>
        <v>0.80970490033302456</v>
      </c>
      <c r="J861" s="4">
        <f t="shared" si="573"/>
        <v>0.81321883376139703</v>
      </c>
      <c r="K861" s="4">
        <f t="shared" si="573"/>
        <v>0.81666064417907258</v>
      </c>
    </row>
    <row r="862" spans="2:11" x14ac:dyDescent="0.25">
      <c r="B862" s="5" t="str">
        <f t="shared" si="554"/>
        <v>SPS4</v>
      </c>
      <c r="C862" s="5" t="str">
        <f t="shared" si="56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573"/>
        <v>0</v>
      </c>
      <c r="H862" s="4" t="str">
        <f t="shared" si="573"/>
        <v>-</v>
      </c>
      <c r="I862" s="4" t="str">
        <f t="shared" si="573"/>
        <v>-</v>
      </c>
      <c r="J862" s="4" t="str">
        <f t="shared" si="573"/>
        <v>-</v>
      </c>
      <c r="K862" s="4" t="str">
        <f t="shared" si="573"/>
        <v>-</v>
      </c>
    </row>
    <row r="863" spans="2:11" x14ac:dyDescent="0.25">
      <c r="B863" s="5" t="str">
        <f t="shared" si="554"/>
        <v>SPS4</v>
      </c>
      <c r="C863" s="5" t="str">
        <f t="shared" si="569"/>
        <v>CH</v>
      </c>
      <c r="D863" t="s">
        <v>2077</v>
      </c>
      <c r="E863" t="s">
        <v>240</v>
      </c>
      <c r="F863" s="4">
        <f>IFERROR(F827/F779,"-")</f>
        <v>0.624288732072804</v>
      </c>
      <c r="G863" s="4">
        <f t="shared" si="573"/>
        <v>0.65104636191801191</v>
      </c>
      <c r="H863" s="4">
        <f t="shared" si="573"/>
        <v>0.7109999999999993</v>
      </c>
      <c r="I863" s="4">
        <f t="shared" si="573"/>
        <v>0.71099999999999963</v>
      </c>
      <c r="J863" s="4">
        <f t="shared" si="573"/>
        <v>0.71099999999999997</v>
      </c>
      <c r="K863" s="4">
        <f t="shared" si="573"/>
        <v>0.7200000000000002</v>
      </c>
    </row>
    <row r="864" spans="2:11" x14ac:dyDescent="0.25">
      <c r="B864" s="5" t="str">
        <f t="shared" si="554"/>
        <v>SPS4</v>
      </c>
      <c r="C864" s="5" t="str">
        <f t="shared" si="569"/>
        <v>CH</v>
      </c>
      <c r="D864" t="s">
        <v>2078</v>
      </c>
      <c r="E864" t="s">
        <v>240</v>
      </c>
      <c r="F864" s="4">
        <f>IFERROR(F829/F788,"-")</f>
        <v>0.66500000000000004</v>
      </c>
      <c r="G864" s="4">
        <f t="shared" ref="G864:K864" si="574">IFERROR(G829/G788,"-")</f>
        <v>0.66600000000000048</v>
      </c>
      <c r="H864" s="4">
        <f t="shared" si="574"/>
        <v>0.66749999999999932</v>
      </c>
      <c r="I864" s="4">
        <f t="shared" si="574"/>
        <v>0.67000000000000071</v>
      </c>
      <c r="J864" s="4">
        <f t="shared" si="574"/>
        <v>0.67499999999999993</v>
      </c>
      <c r="K864" s="4">
        <f t="shared" si="574"/>
        <v>0.68000000000000049</v>
      </c>
    </row>
    <row r="865" spans="2:12" x14ac:dyDescent="0.25">
      <c r="B865" s="5" t="str">
        <f t="shared" si="554"/>
        <v>SPS4</v>
      </c>
      <c r="C865" s="5" t="str">
        <f t="shared" si="569"/>
        <v>CH</v>
      </c>
      <c r="D865" t="s">
        <v>2079</v>
      </c>
      <c r="E865" t="s">
        <v>240</v>
      </c>
      <c r="F865" s="4">
        <f>IFERROR(F832/F791,"-")</f>
        <v>1.2081544939611784</v>
      </c>
      <c r="G865" s="4">
        <f t="shared" ref="G865:K865" si="575">IFERROR(G832/G791,"-")</f>
        <v>0.95225940185959124</v>
      </c>
      <c r="H865" s="4">
        <f t="shared" si="575"/>
        <v>0.94243787688257274</v>
      </c>
      <c r="I865" s="4">
        <f t="shared" si="575"/>
        <v>0.97598682691997563</v>
      </c>
      <c r="J865" s="4">
        <f t="shared" si="575"/>
        <v>0.94248278940770802</v>
      </c>
      <c r="K865" s="4">
        <f t="shared" si="575"/>
        <v>0.94931463576473774</v>
      </c>
    </row>
    <row r="866" spans="2:12" x14ac:dyDescent="0.25">
      <c r="B866" s="5" t="str">
        <f t="shared" si="554"/>
        <v>SPS4</v>
      </c>
      <c r="C866" s="5" t="str">
        <f t="shared" si="569"/>
        <v>CH</v>
      </c>
      <c r="D866" t="s">
        <v>2080</v>
      </c>
      <c r="E866" t="s">
        <v>240</v>
      </c>
      <c r="F866" s="4">
        <f t="shared" ref="F866:K874" si="576">IFERROR(F833/F792,"-")</f>
        <v>1.2081544939611784</v>
      </c>
      <c r="G866" s="4">
        <f t="shared" si="576"/>
        <v>0.95225940185959135</v>
      </c>
      <c r="H866" s="4">
        <f t="shared" si="576"/>
        <v>0.94243787688257274</v>
      </c>
      <c r="I866" s="4">
        <f t="shared" si="576"/>
        <v>0.97598682691997551</v>
      </c>
      <c r="J866" s="4">
        <f t="shared" si="576"/>
        <v>0.94248278940770802</v>
      </c>
      <c r="K866" s="4">
        <f t="shared" si="576"/>
        <v>0.94931463576473774</v>
      </c>
    </row>
    <row r="867" spans="2:12" x14ac:dyDescent="0.25">
      <c r="B867" s="5" t="str">
        <f t="shared" si="554"/>
        <v>SPS4</v>
      </c>
      <c r="C867" s="5" t="str">
        <f t="shared" si="569"/>
        <v>CH</v>
      </c>
      <c r="D867" t="s">
        <v>2081</v>
      </c>
      <c r="E867" t="s">
        <v>240</v>
      </c>
      <c r="F867" s="4" t="str">
        <f t="shared" si="576"/>
        <v>-</v>
      </c>
      <c r="G867" s="4" t="str">
        <f t="shared" si="576"/>
        <v>-</v>
      </c>
      <c r="H867" s="4" t="str">
        <f t="shared" si="576"/>
        <v>-</v>
      </c>
      <c r="I867" s="4" t="str">
        <f t="shared" si="576"/>
        <v>-</v>
      </c>
      <c r="J867" s="4" t="str">
        <f t="shared" si="576"/>
        <v>-</v>
      </c>
      <c r="K867" s="4" t="str">
        <f t="shared" si="576"/>
        <v>-</v>
      </c>
    </row>
    <row r="868" spans="2:12" x14ac:dyDescent="0.25">
      <c r="B868" s="5" t="str">
        <f t="shared" si="554"/>
        <v>SPS4</v>
      </c>
      <c r="C868" s="5" t="str">
        <f t="shared" si="569"/>
        <v>CH</v>
      </c>
      <c r="D868" t="s">
        <v>2082</v>
      </c>
      <c r="E868" t="s">
        <v>240</v>
      </c>
      <c r="F868" s="4" t="str">
        <f t="shared" si="576"/>
        <v>-</v>
      </c>
      <c r="G868" s="4" t="str">
        <f t="shared" si="576"/>
        <v>-</v>
      </c>
      <c r="H868" s="4" t="str">
        <f t="shared" si="576"/>
        <v>-</v>
      </c>
      <c r="I868" s="4">
        <f t="shared" si="576"/>
        <v>0.9759868269199754</v>
      </c>
      <c r="J868" s="4">
        <f t="shared" si="576"/>
        <v>0.94248278940770802</v>
      </c>
      <c r="K868" s="4">
        <f t="shared" si="576"/>
        <v>0.94931463576473774</v>
      </c>
    </row>
    <row r="869" spans="2:12" x14ac:dyDescent="0.25">
      <c r="B869" s="5" t="str">
        <f t="shared" si="554"/>
        <v>SPS4</v>
      </c>
      <c r="C869" s="5" t="str">
        <f t="shared" si="569"/>
        <v>CH</v>
      </c>
      <c r="D869" t="s">
        <v>2083</v>
      </c>
      <c r="E869" t="s">
        <v>240</v>
      </c>
      <c r="F869" s="4">
        <f t="shared" si="576"/>
        <v>1.2081544939611784</v>
      </c>
      <c r="G869" s="4">
        <f t="shared" si="576"/>
        <v>0.95225940185959135</v>
      </c>
      <c r="H869" s="4">
        <f t="shared" si="576"/>
        <v>0.94243787688257263</v>
      </c>
      <c r="I869" s="4">
        <f t="shared" si="576"/>
        <v>0.9759868269199754</v>
      </c>
      <c r="J869" s="4">
        <f t="shared" si="576"/>
        <v>0.94248278940770802</v>
      </c>
      <c r="K869" s="4">
        <f t="shared" si="576"/>
        <v>0.94931463576473774</v>
      </c>
    </row>
    <row r="870" spans="2:12" x14ac:dyDescent="0.25">
      <c r="B870" s="5" t="str">
        <f t="shared" si="554"/>
        <v>SPS4</v>
      </c>
      <c r="C870" s="5" t="str">
        <f t="shared" si="569"/>
        <v>CH</v>
      </c>
      <c r="D870" t="s">
        <v>2084</v>
      </c>
      <c r="E870" t="s">
        <v>240</v>
      </c>
      <c r="F870" s="4" t="str">
        <f t="shared" si="576"/>
        <v>-</v>
      </c>
      <c r="G870" s="4" t="str">
        <f t="shared" si="576"/>
        <v>-</v>
      </c>
      <c r="H870" s="4" t="str">
        <f t="shared" si="576"/>
        <v>-</v>
      </c>
      <c r="I870" s="4" t="str">
        <f t="shared" si="576"/>
        <v>-</v>
      </c>
      <c r="J870" s="4" t="str">
        <f t="shared" si="576"/>
        <v>-</v>
      </c>
      <c r="K870" s="4" t="str">
        <f t="shared" si="576"/>
        <v>-</v>
      </c>
    </row>
    <row r="871" spans="2:12" x14ac:dyDescent="0.25">
      <c r="B871" s="5" t="str">
        <f t="shared" si="554"/>
        <v>SPS4</v>
      </c>
      <c r="C871" s="5" t="str">
        <f t="shared" si="569"/>
        <v>CH</v>
      </c>
      <c r="D871" t="s">
        <v>2085</v>
      </c>
      <c r="E871" t="s">
        <v>240</v>
      </c>
      <c r="F871" s="4">
        <f t="shared" si="576"/>
        <v>1.2081544939611781</v>
      </c>
      <c r="G871" s="4">
        <f t="shared" si="576"/>
        <v>0.95225940185959135</v>
      </c>
      <c r="H871" s="4">
        <f t="shared" si="576"/>
        <v>0.94243787688257274</v>
      </c>
      <c r="I871" s="4">
        <f t="shared" si="576"/>
        <v>0.97598682691997563</v>
      </c>
      <c r="J871" s="4">
        <f t="shared" si="576"/>
        <v>0.94248278940770813</v>
      </c>
      <c r="K871" s="4">
        <f t="shared" si="576"/>
        <v>0.94931463576473762</v>
      </c>
    </row>
    <row r="872" spans="2:12" x14ac:dyDescent="0.25">
      <c r="B872" s="5" t="str">
        <f t="shared" si="554"/>
        <v>SPS4</v>
      </c>
      <c r="C872" s="5" t="str">
        <f t="shared" si="569"/>
        <v>CH</v>
      </c>
      <c r="D872" t="s">
        <v>2086</v>
      </c>
      <c r="E872" t="s">
        <v>240</v>
      </c>
      <c r="F872" s="4" t="str">
        <f t="shared" si="576"/>
        <v>-</v>
      </c>
      <c r="G872" s="4" t="str">
        <f t="shared" si="576"/>
        <v>-</v>
      </c>
      <c r="H872" s="4" t="str">
        <f t="shared" si="576"/>
        <v>-</v>
      </c>
      <c r="I872" s="4" t="str">
        <f t="shared" si="576"/>
        <v>-</v>
      </c>
      <c r="J872" s="4" t="str">
        <f t="shared" si="576"/>
        <v>-</v>
      </c>
      <c r="K872" s="4" t="str">
        <f t="shared" si="576"/>
        <v>-</v>
      </c>
    </row>
    <row r="873" spans="2:12" x14ac:dyDescent="0.25">
      <c r="B873" s="5" t="str">
        <f t="shared" si="554"/>
        <v>SPS4</v>
      </c>
      <c r="C873" s="5" t="str">
        <f t="shared" si="569"/>
        <v>CH</v>
      </c>
      <c r="D873" t="s">
        <v>2087</v>
      </c>
      <c r="E873" t="s">
        <v>240</v>
      </c>
      <c r="F873" s="4" t="str">
        <f t="shared" si="576"/>
        <v>-</v>
      </c>
      <c r="G873" s="4" t="str">
        <f t="shared" si="576"/>
        <v>-</v>
      </c>
      <c r="H873" s="4" t="str">
        <f t="shared" si="576"/>
        <v>-</v>
      </c>
      <c r="I873" s="4">
        <f t="shared" si="576"/>
        <v>0.97598682691997551</v>
      </c>
      <c r="J873" s="4">
        <f t="shared" si="576"/>
        <v>0.94248278940770813</v>
      </c>
      <c r="K873" s="4">
        <f t="shared" si="576"/>
        <v>0.94931463576473774</v>
      </c>
    </row>
    <row r="874" spans="2:12" x14ac:dyDescent="0.25">
      <c r="B874" s="5" t="str">
        <f t="shared" si="554"/>
        <v>SPS4</v>
      </c>
      <c r="C874" s="5" t="str">
        <f t="shared" si="569"/>
        <v>CH</v>
      </c>
      <c r="D874" t="s">
        <v>2088</v>
      </c>
      <c r="E874" t="s">
        <v>240</v>
      </c>
      <c r="F874" s="4">
        <f t="shared" si="576"/>
        <v>0.92447626236575009</v>
      </c>
      <c r="G874" s="4">
        <f t="shared" si="576"/>
        <v>0.92645636412827204</v>
      </c>
      <c r="H874" s="4">
        <f t="shared" si="576"/>
        <v>0.92942651677205501</v>
      </c>
      <c r="I874" s="4">
        <f t="shared" si="576"/>
        <v>0.93437677117835949</v>
      </c>
      <c r="J874" s="4">
        <f t="shared" si="576"/>
        <v>0.944277279990966</v>
      </c>
      <c r="K874" s="4">
        <f>IFERROR(K841/K800,"-")</f>
        <v>0.95000000000000107</v>
      </c>
    </row>
    <row r="875" spans="2:12" x14ac:dyDescent="0.25">
      <c r="B875" s="5" t="str">
        <f t="shared" si="554"/>
        <v>SPS4</v>
      </c>
      <c r="C875" s="5" t="str">
        <f t="shared" si="569"/>
        <v>CH</v>
      </c>
      <c r="D875" t="s">
        <v>2089</v>
      </c>
      <c r="E875" t="s">
        <v>240</v>
      </c>
      <c r="F875" s="4">
        <f>IFERROR(F843/F802,"-")</f>
        <v>0.59000000000000052</v>
      </c>
      <c r="G875" s="4">
        <f t="shared" ref="G875:K875" si="577">IFERROR(G843/G802,"-")</f>
        <v>0.5906666666666669</v>
      </c>
      <c r="H875" s="4">
        <f t="shared" si="577"/>
        <v>0.59166666666666645</v>
      </c>
      <c r="I875" s="4">
        <f t="shared" si="577"/>
        <v>0.59333333333333238</v>
      </c>
      <c r="J875" s="4">
        <f t="shared" si="577"/>
        <v>0.59666666666666757</v>
      </c>
      <c r="K875" s="4">
        <f t="shared" si="577"/>
        <v>0.6</v>
      </c>
    </row>
    <row r="876" spans="2:12" x14ac:dyDescent="0.25">
      <c r="B876" s="5" t="str">
        <f t="shared" si="554"/>
        <v>SPS4</v>
      </c>
      <c r="C876" s="5" t="str">
        <f t="shared" si="569"/>
        <v>CH</v>
      </c>
      <c r="D876" t="s">
        <v>2090</v>
      </c>
      <c r="E876" t="s">
        <v>240</v>
      </c>
      <c r="F876" s="4">
        <f>IFERROR(F845/F804,"-")</f>
        <v>0.73749999999999905</v>
      </c>
      <c r="G876" s="4">
        <f t="shared" ref="G876:K876" si="578">IFERROR(G845/G804,"-")</f>
        <v>0.73833333333333317</v>
      </c>
      <c r="H876" s="4">
        <f t="shared" si="578"/>
        <v>0.7395833333333337</v>
      </c>
      <c r="I876" s="4">
        <f t="shared" si="578"/>
        <v>0.7416666666666667</v>
      </c>
      <c r="J876" s="4">
        <f t="shared" si="578"/>
        <v>0.74583333333333346</v>
      </c>
      <c r="K876" s="4">
        <f t="shared" si="578"/>
        <v>0.75000000000000022</v>
      </c>
    </row>
    <row r="877" spans="2:12" x14ac:dyDescent="0.25">
      <c r="B877" s="5" t="str">
        <f t="shared" si="554"/>
        <v>SPS4</v>
      </c>
      <c r="C877" s="5" t="str">
        <f t="shared" si="569"/>
        <v>CH</v>
      </c>
      <c r="D877" t="s">
        <v>2091</v>
      </c>
      <c r="E877" t="s">
        <v>240</v>
      </c>
      <c r="F877" s="4">
        <f>IFERROR(F847/F806,"-")</f>
        <v>0.52800000000000025</v>
      </c>
      <c r="G877" s="4">
        <f t="shared" ref="G877:K877" si="579">IFERROR(G847/G806,"-")</f>
        <v>0.5280000000000008</v>
      </c>
      <c r="H877" s="4">
        <f t="shared" si="579"/>
        <v>0.5279999999999998</v>
      </c>
      <c r="I877" s="4">
        <f t="shared" si="579"/>
        <v>0.52799999999999991</v>
      </c>
      <c r="J877" s="4">
        <f t="shared" si="579"/>
        <v>0.52800000000000069</v>
      </c>
      <c r="K877" s="4">
        <f t="shared" si="579"/>
        <v>0.54400000000000048</v>
      </c>
    </row>
    <row r="878" spans="2:12" x14ac:dyDescent="0.25">
      <c r="B878" s="5" t="str">
        <f t="shared" si="554"/>
        <v>SPS4</v>
      </c>
      <c r="C878" s="5" t="str">
        <f t="shared" si="56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580">IFERROR(G849/G810,"-")</f>
        <v>1</v>
      </c>
      <c r="H878" s="4">
        <f t="shared" si="580"/>
        <v>1</v>
      </c>
      <c r="I878" s="4">
        <f t="shared" si="580"/>
        <v>1</v>
      </c>
      <c r="J878" s="4">
        <f t="shared" si="580"/>
        <v>1</v>
      </c>
      <c r="K878" s="4">
        <f t="shared" si="580"/>
        <v>1</v>
      </c>
    </row>
    <row r="879" spans="2:12" x14ac:dyDescent="0.25">
      <c r="B879" s="5" t="str">
        <f t="shared" si="554"/>
        <v>SPS4</v>
      </c>
      <c r="C879" s="5" t="str">
        <f t="shared" si="56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581">IFERROR(G851/G812,"-")</f>
        <v>-</v>
      </c>
      <c r="H879" s="4">
        <f t="shared" si="581"/>
        <v>0</v>
      </c>
      <c r="I879" s="4">
        <f t="shared" si="581"/>
        <v>0.71550915405814031</v>
      </c>
      <c r="J879" s="4">
        <f t="shared" si="581"/>
        <v>0.78823077848136236</v>
      </c>
      <c r="K879" s="4">
        <f t="shared" si="581"/>
        <v>0.80587936040931518</v>
      </c>
    </row>
    <row r="880" spans="2:12" x14ac:dyDescent="0.25">
      <c r="B880" s="9" t="str">
        <f t="shared" si="554"/>
        <v>SPS4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582">F881+F885+F892+F903+F911+F913+F915+F917+F921</f>
        <v>140.10107406652276</v>
      </c>
      <c r="G880" s="17">
        <f t="shared" si="582"/>
        <v>139.68511385895695</v>
      </c>
      <c r="H880" s="17">
        <f t="shared" si="582"/>
        <v>131.90669990833456</v>
      </c>
      <c r="I880" s="17">
        <f t="shared" si="582"/>
        <v>126.61714641914075</v>
      </c>
      <c r="J880" s="17">
        <f t="shared" si="582"/>
        <v>118.15647441677061</v>
      </c>
      <c r="K880" s="17">
        <f t="shared" si="582"/>
        <v>109.45975368394502</v>
      </c>
      <c r="L880" s="17"/>
    </row>
    <row r="881" spans="2:12" x14ac:dyDescent="0.25">
      <c r="B881" s="5" t="str">
        <f t="shared" si="554"/>
        <v>SPS4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60.950006601776657</v>
      </c>
      <c r="G881" s="1">
        <f>[1]Services!C$11</f>
        <v>60.339231905606781</v>
      </c>
      <c r="H881" s="1">
        <f>[1]Services!D$11</f>
        <v>59.525961044390598</v>
      </c>
      <c r="I881" s="1">
        <f>[1]Services!E$11</f>
        <v>59.26799534706489</v>
      </c>
      <c r="J881" s="1">
        <f>[1]Services!F$11</f>
        <v>58.886798726601455</v>
      </c>
      <c r="K881" s="1">
        <f>[1]Services!G$11</f>
        <v>57.143198069943502</v>
      </c>
    </row>
    <row r="882" spans="2:12" x14ac:dyDescent="0.25">
      <c r="B882" s="5" t="str">
        <f t="shared" si="554"/>
        <v>SPS4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2.6236032124724176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0.21213631116813556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1.1044352339975319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0.72953706779574079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0.5227017562177203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0.36906507402153194</v>
      </c>
    </row>
    <row r="883" spans="2:12" x14ac:dyDescent="0.25">
      <c r="B883" s="5" t="str">
        <f t="shared" si="554"/>
        <v>SPS4</v>
      </c>
      <c r="C883" s="5" t="str">
        <f t="shared" ref="C883:C922" si="583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1.3316288143917983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1.4252008584033393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1.6124104726522177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2.3530842348820684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3.4063511621300462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4.3053140659411238</v>
      </c>
    </row>
    <row r="884" spans="2:12" x14ac:dyDescent="0.25">
      <c r="B884" s="5" t="str">
        <f t="shared" ref="B884:B947" si="584">B883</f>
        <v>SPS4</v>
      </c>
      <c r="C884" s="5" t="str">
        <f t="shared" si="583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58.701894736035307</v>
      </c>
      <c r="H884" s="1">
        <f>[1]Services!D$11-[1]Services!D$28</f>
        <v>56.809115337740849</v>
      </c>
      <c r="I884" s="1">
        <f>[1]Services!E$11-[1]Services!E$28</f>
        <v>56.185374044387082</v>
      </c>
      <c r="J884" s="1">
        <f>[1]Services!F$11-[1]Services!F$28</f>
        <v>54.957745808253691</v>
      </c>
      <c r="K884" s="1">
        <f>[1]Services!G$11-[1]Services!G$28</f>
        <v>52.468818929980849</v>
      </c>
    </row>
    <row r="885" spans="2:12" x14ac:dyDescent="0.25">
      <c r="B885" s="5" t="str">
        <f t="shared" si="584"/>
        <v>SPS4</v>
      </c>
      <c r="C885" s="5" t="str">
        <f t="shared" si="583"/>
        <v>CH</v>
      </c>
      <c r="D885" t="s">
        <v>499</v>
      </c>
      <c r="E885" t="s">
        <v>8</v>
      </c>
      <c r="F885" s="1">
        <f>F886</f>
        <v>30.256634199787158</v>
      </c>
      <c r="G885" s="1">
        <f t="shared" ref="G885:K885" si="585">G886</f>
        <v>27.088129134858487</v>
      </c>
      <c r="H885" s="1">
        <f t="shared" si="585"/>
        <v>26.838598004878641</v>
      </c>
      <c r="I885" s="1">
        <f t="shared" si="585"/>
        <v>19.643117686243265</v>
      </c>
      <c r="J885" s="1">
        <f t="shared" si="585"/>
        <v>12.245389667935214</v>
      </c>
      <c r="K885" s="1">
        <f t="shared" si="585"/>
        <v>5.2031954311528414</v>
      </c>
      <c r="L885" s="1"/>
    </row>
    <row r="886" spans="2:12" x14ac:dyDescent="0.25">
      <c r="B886" s="5" t="str">
        <f t="shared" si="584"/>
        <v>SPS4</v>
      </c>
      <c r="C886" s="5" t="str">
        <f t="shared" si="583"/>
        <v>CH</v>
      </c>
      <c r="D886" t="s">
        <v>500</v>
      </c>
      <c r="E886" t="s">
        <v>8</v>
      </c>
      <c r="F886" s="1">
        <f>SUM(F889,F891)</f>
        <v>30.256634199787158</v>
      </c>
      <c r="G886" s="1">
        <f t="shared" ref="G886:K886" si="586">SUM(G889,G891)</f>
        <v>27.088129134858487</v>
      </c>
      <c r="H886" s="1">
        <f t="shared" si="586"/>
        <v>26.838598004878641</v>
      </c>
      <c r="I886" s="1">
        <f t="shared" si="586"/>
        <v>19.643117686243265</v>
      </c>
      <c r="J886" s="1">
        <f t="shared" si="586"/>
        <v>12.245389667935214</v>
      </c>
      <c r="K886" s="1">
        <f t="shared" si="586"/>
        <v>5.2031954311528414</v>
      </c>
    </row>
    <row r="887" spans="2:12" x14ac:dyDescent="0.25">
      <c r="B887" s="5" t="str">
        <f t="shared" si="584"/>
        <v>SPS4</v>
      </c>
      <c r="C887" s="5" t="str">
        <f>C886</f>
        <v>CH</v>
      </c>
      <c r="D887" t="s">
        <v>964</v>
      </c>
      <c r="E887" t="s">
        <v>8</v>
      </c>
      <c r="F887" s="1">
        <f>F888</f>
        <v>30.256634199787158</v>
      </c>
      <c r="G887" s="1">
        <f t="shared" ref="G887:K887" si="587">G888</f>
        <v>27.088129134858487</v>
      </c>
      <c r="H887" s="1">
        <f t="shared" si="587"/>
        <v>26.838512534665099</v>
      </c>
      <c r="I887" s="1">
        <f t="shared" si="587"/>
        <v>19.643075992206544</v>
      </c>
      <c r="J887" s="1">
        <f t="shared" si="587"/>
        <v>12.24530615181355</v>
      </c>
      <c r="K887" s="1">
        <f t="shared" si="587"/>
        <v>5.2031341891545333</v>
      </c>
    </row>
    <row r="888" spans="2:12" x14ac:dyDescent="0.25">
      <c r="B888" s="5" t="str">
        <f t="shared" si="584"/>
        <v>SPS4</v>
      </c>
      <c r="C888" s="5" t="str">
        <f t="shared" si="583"/>
        <v>CH</v>
      </c>
      <c r="D888" t="s">
        <v>528</v>
      </c>
      <c r="E888" t="s">
        <v>8</v>
      </c>
      <c r="F888" s="1">
        <f>[1]Services!B$12</f>
        <v>30.256634199787158</v>
      </c>
      <c r="G888" s="1">
        <f>[1]Services!C$12</f>
        <v>27.088129134858487</v>
      </c>
      <c r="H888" s="1">
        <f>[1]Services!D$12</f>
        <v>26.838512534665099</v>
      </c>
      <c r="I888" s="1">
        <f>[1]Services!E$12</f>
        <v>19.643075992206544</v>
      </c>
      <c r="J888" s="1">
        <f>[1]Services!F$12</f>
        <v>12.24530615181355</v>
      </c>
      <c r="K888" s="1">
        <f>[1]Services!G$12</f>
        <v>5.2031341891545333</v>
      </c>
    </row>
    <row r="889" spans="2:12" x14ac:dyDescent="0.25">
      <c r="B889" s="5" t="str">
        <f t="shared" si="584"/>
        <v>SPS4</v>
      </c>
      <c r="C889" s="5" t="str">
        <f t="shared" si="583"/>
        <v>CH</v>
      </c>
      <c r="D889" t="s">
        <v>529</v>
      </c>
      <c r="E889" t="s">
        <v>8</v>
      </c>
      <c r="F889" s="1">
        <f>F888</f>
        <v>30.256634199787158</v>
      </c>
      <c r="G889" s="1">
        <f t="shared" ref="G889:K889" si="588">G888</f>
        <v>27.088129134858487</v>
      </c>
      <c r="H889" s="1">
        <f t="shared" si="588"/>
        <v>26.838512534665099</v>
      </c>
      <c r="I889" s="1">
        <f t="shared" si="588"/>
        <v>19.643075992206544</v>
      </c>
      <c r="J889" s="1">
        <f t="shared" si="588"/>
        <v>12.24530615181355</v>
      </c>
      <c r="K889" s="1">
        <f t="shared" si="588"/>
        <v>5.2031341891545333</v>
      </c>
    </row>
    <row r="890" spans="2:12" x14ac:dyDescent="0.25">
      <c r="B890" s="5" t="str">
        <f t="shared" si="584"/>
        <v>SPS4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589">G891</f>
        <v>0</v>
      </c>
      <c r="H890">
        <f t="shared" si="589"/>
        <v>8.5470213539876936E-5</v>
      </c>
      <c r="I890">
        <f t="shared" si="589"/>
        <v>4.1694036720641533E-5</v>
      </c>
      <c r="J890">
        <f t="shared" si="589"/>
        <v>8.3516121665208796E-5</v>
      </c>
      <c r="K890">
        <f t="shared" si="589"/>
        <v>6.1241998307847188E-5</v>
      </c>
    </row>
    <row r="891" spans="2:12" x14ac:dyDescent="0.25">
      <c r="B891" s="5" t="str">
        <f t="shared" si="584"/>
        <v>SPS4</v>
      </c>
      <c r="C891" s="5" t="str">
        <f t="shared" si="583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8.5470213539876936E-5</v>
      </c>
      <c r="I891">
        <f>[1]Services!E$13</f>
        <v>4.1694036720641533E-5</v>
      </c>
      <c r="J891">
        <f>[1]Services!F$13</f>
        <v>8.3516121665208796E-5</v>
      </c>
      <c r="K891">
        <f>[1]Services!G$13</f>
        <v>6.1241998307847188E-5</v>
      </c>
    </row>
    <row r="892" spans="2:12" x14ac:dyDescent="0.25">
      <c r="B892" s="5" t="str">
        <f t="shared" si="584"/>
        <v>SPS4</v>
      </c>
      <c r="C892" s="5" t="str">
        <f t="shared" si="583"/>
        <v>CH</v>
      </c>
      <c r="D892" t="s">
        <v>501</v>
      </c>
      <c r="E892" t="s">
        <v>8</v>
      </c>
      <c r="F892" s="1">
        <f>SUM(F893:F895)</f>
        <v>26.950965239727054</v>
      </c>
      <c r="G892" s="1">
        <f t="shared" ref="G892:K892" si="590">SUM(G893:G895)</f>
        <v>28.287004901403893</v>
      </c>
      <c r="H892" s="1">
        <f t="shared" si="590"/>
        <v>25.958181774983888</v>
      </c>
      <c r="I892" s="1">
        <f t="shared" si="590"/>
        <v>24.369174028014189</v>
      </c>
      <c r="J892" s="1">
        <f t="shared" si="590"/>
        <v>19.541536936506805</v>
      </c>
      <c r="K892" s="1">
        <f t="shared" si="590"/>
        <v>15.793790350363993</v>
      </c>
    </row>
    <row r="893" spans="2:12" x14ac:dyDescent="0.25">
      <c r="B893" s="5" t="str">
        <f t="shared" si="584"/>
        <v>SPS4</v>
      </c>
      <c r="C893" s="5" t="str">
        <f t="shared" si="583"/>
        <v>CH</v>
      </c>
      <c r="D893" t="s">
        <v>681</v>
      </c>
      <c r="E893" t="s">
        <v>8</v>
      </c>
      <c r="F893" s="1">
        <f>SUM([1]Services!B$14:B$15)-F894</f>
        <v>25.548687418818737</v>
      </c>
      <c r="G893" s="1">
        <f>SUM([1]Services!C$14:C$15)</f>
        <v>26.749781050625096</v>
      </c>
      <c r="H893" s="1">
        <f>SUM([1]Services!D$14:D$15)</f>
        <v>25.093886555553244</v>
      </c>
      <c r="I893" s="1">
        <f>SUM([1]Services!E$14:E$15)</f>
        <v>22.691317083891075</v>
      </c>
      <c r="J893" s="1">
        <f>SUM([1]Services!F$14:F$15)</f>
        <v>16.751690490812894</v>
      </c>
      <c r="K893" s="1">
        <f>SUM([1]Services!G$14:G$15)</f>
        <v>11.919084531734349</v>
      </c>
    </row>
    <row r="894" spans="2:12" x14ac:dyDescent="0.25">
      <c r="B894" s="5" t="str">
        <f t="shared" si="584"/>
        <v>SPS4</v>
      </c>
      <c r="C894" s="5" t="str">
        <f t="shared" ref="C894" si="591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0.86429521943064458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1.6778569441231128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2.78984644569391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3.8747058186296441</v>
      </c>
    </row>
    <row r="895" spans="2:12" x14ac:dyDescent="0.25">
      <c r="B895" s="5" t="str">
        <f t="shared" si="584"/>
        <v>SPS4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1.4022778209083187</v>
      </c>
      <c r="G895" s="1">
        <f>[1]Services!C$16</f>
        <v>1.5372238507787992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25">
      <c r="B896" s="5" t="str">
        <f t="shared" si="584"/>
        <v>SPS4</v>
      </c>
      <c r="C896" s="5" t="str">
        <f t="shared" si="583"/>
        <v>CH</v>
      </c>
      <c r="D896" t="s">
        <v>967</v>
      </c>
      <c r="E896" t="s">
        <v>8</v>
      </c>
      <c r="F896" s="1">
        <f>[1]Services!B$14</f>
        <v>25.260808676186979</v>
      </c>
      <c r="G896" s="1">
        <f>[1]Services!C$14</f>
        <v>25.108215572278691</v>
      </c>
      <c r="H896" s="1">
        <f>[1]Services!D$14</f>
        <v>23.934111726230217</v>
      </c>
      <c r="I896" s="1">
        <f>[1]Services!E$14</f>
        <v>22.690321783591664</v>
      </c>
      <c r="J896" s="1">
        <f>[1]Services!F$14</f>
        <v>16.751588009195913</v>
      </c>
      <c r="K896" s="1">
        <f>[1]Services!G$14</f>
        <v>11.919045480039429</v>
      </c>
    </row>
    <row r="897" spans="2:11" x14ac:dyDescent="0.25">
      <c r="B897" s="5" t="str">
        <f t="shared" si="584"/>
        <v>SPS4</v>
      </c>
      <c r="C897" s="5" t="str">
        <f t="shared" si="583"/>
        <v>CH</v>
      </c>
      <c r="D897" t="s">
        <v>682</v>
      </c>
      <c r="E897" t="s">
        <v>8</v>
      </c>
      <c r="F897" s="1">
        <f>[1]Services!B$14*IFERROR(F893/SUM(F893:F894),0)</f>
        <v>25.260808676186979</v>
      </c>
      <c r="G897" s="1">
        <f>[1]Services!C$14*IFERROR(G893/SUM(G893:G894),0)</f>
        <v>25.108215572278691</v>
      </c>
      <c r="H897" s="1">
        <f>[1]Services!D$14*IFERROR(H893/SUM(H893:H894),0)</f>
        <v>23.137209288085064</v>
      </c>
      <c r="I897" s="1">
        <f>[1]Services!E$14*IFERROR(I893/SUM(I893:I894),0)</f>
        <v>21.128056524817541</v>
      </c>
      <c r="J897" s="1">
        <f>[1]Services!F$14*IFERROR(J893/SUM(J893:J894),0)</f>
        <v>14.360048468624953</v>
      </c>
      <c r="K897" s="1">
        <f>[1]Services!G$14*IFERROR(K893/SUM(K893:K894),0)</f>
        <v>8.9949345573592527</v>
      </c>
    </row>
    <row r="898" spans="2:11" x14ac:dyDescent="0.25">
      <c r="B898" s="5" t="str">
        <f t="shared" si="584"/>
        <v>SPS4</v>
      </c>
      <c r="C898" s="5" t="str">
        <f t="shared" ref="C898" si="592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593">G896-G897</f>
        <v>0</v>
      </c>
      <c r="H898" s="1">
        <f t="shared" si="593"/>
        <v>0.79690243814515327</v>
      </c>
      <c r="I898" s="1">
        <f t="shared" si="593"/>
        <v>1.5622652587741221</v>
      </c>
      <c r="J898" s="1">
        <f t="shared" si="593"/>
        <v>2.3915395405709603</v>
      </c>
      <c r="K898" s="1">
        <f t="shared" si="593"/>
        <v>2.9241109226801765</v>
      </c>
    </row>
    <row r="899" spans="2:11" x14ac:dyDescent="0.25">
      <c r="B899" s="5" t="str">
        <f t="shared" si="584"/>
        <v>SPS4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1.6901565635400755</v>
      </c>
      <c r="G899" s="1">
        <f>[1]Services!C$15+G902</f>
        <v>3.1787893291252036</v>
      </c>
      <c r="H899" s="1">
        <f>[1]Services!D$15+H902</f>
        <v>1.1597748293230266</v>
      </c>
      <c r="I899" s="1">
        <f>[1]Services!E$15+I902</f>
        <v>9.9530029941262248E-4</v>
      </c>
      <c r="J899" s="1">
        <f>[1]Services!F$15+J902</f>
        <v>1.0248161698025925E-4</v>
      </c>
      <c r="K899" s="1">
        <f>[1]Services!G$15+K902</f>
        <v>3.9051694919618901E-5</v>
      </c>
    </row>
    <row r="900" spans="2:11" x14ac:dyDescent="0.25">
      <c r="B900" s="5" t="str">
        <f t="shared" si="584"/>
        <v>SPS4</v>
      </c>
      <c r="C900" s="5" t="str">
        <f t="shared" si="583"/>
        <v>CH</v>
      </c>
      <c r="D900" t="s">
        <v>683</v>
      </c>
      <c r="E900" t="s">
        <v>8</v>
      </c>
      <c r="F900" s="1">
        <f>[1]Services!B$15*F893/SUM(F893:F894)</f>
        <v>0.28787874263175683</v>
      </c>
      <c r="G900" s="1">
        <f>[1]Services!C$15*G893/SUM(G893:G894)</f>
        <v>1.6415654783464049</v>
      </c>
      <c r="H900" s="1">
        <f>[1]Services!D$15*H893/SUM(H893:H894)</f>
        <v>1.1211593419484103</v>
      </c>
      <c r="I900" s="1">
        <f>[1]Services!E$15*I893/SUM(I893:I894)</f>
        <v>9.2677226818195686E-4</v>
      </c>
      <c r="J900" s="1">
        <f>[1]Services!F$15*J893/SUM(J893:J894)</f>
        <v>8.7850834569935221E-5</v>
      </c>
      <c r="K900" s="1">
        <f>[1]Services!G$15*K893/SUM(K893:K894)</f>
        <v>2.9471104942437789E-5</v>
      </c>
    </row>
    <row r="901" spans="2:11" x14ac:dyDescent="0.25">
      <c r="B901" s="5" t="str">
        <f t="shared" si="584"/>
        <v>SPS4</v>
      </c>
      <c r="C901" s="5" t="str">
        <f t="shared" ref="C901" si="594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3.8615487374616238E-2</v>
      </c>
      <c r="I901" s="1">
        <f>[1]Services!E$15*I894/SUM(I893:I894)</f>
        <v>6.8528031230665628E-5</v>
      </c>
      <c r="J901" s="1">
        <f>[1]Services!F$15*J894/SUM(J893:J894)</f>
        <v>1.4630782410324022E-5</v>
      </c>
      <c r="K901" s="1">
        <f>[1]Services!G$15*K894/SUM(K893:K894)</f>
        <v>9.580589977181114E-6</v>
      </c>
    </row>
    <row r="902" spans="2:11" x14ac:dyDescent="0.25">
      <c r="B902" s="5" t="str">
        <f t="shared" si="584"/>
        <v>SPS4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1.4022778209083187</v>
      </c>
      <c r="G902" s="1">
        <f>[1]Services!C$16</f>
        <v>1.5372238507787992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25">
      <c r="B903" s="5" t="str">
        <f t="shared" si="584"/>
        <v>SPS4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7.7268871756507007</v>
      </c>
      <c r="G903" s="1">
        <f>[1]Services!C$17</f>
        <v>8.3696944241856279</v>
      </c>
      <c r="H903" s="1">
        <f>[1]Services!D$17</f>
        <v>5.927329426930628</v>
      </c>
      <c r="I903" s="1">
        <f>[1]Services!E$17</f>
        <v>6.7886448761595863</v>
      </c>
      <c r="J903" s="1">
        <f>[1]Services!F$17</f>
        <v>7.4384098249013153</v>
      </c>
      <c r="K903" s="1">
        <f>[1]Services!G$17</f>
        <v>7.598040059595057</v>
      </c>
    </row>
    <row r="904" spans="2:11" x14ac:dyDescent="0.25">
      <c r="B904" s="5" t="str">
        <f t="shared" si="584"/>
        <v>SPS4</v>
      </c>
      <c r="C904" s="5" t="str">
        <f t="shared" si="583"/>
        <v>CH</v>
      </c>
      <c r="D904" t="s">
        <v>970</v>
      </c>
      <c r="E904" t="s">
        <v>8</v>
      </c>
      <c r="F904" s="1">
        <f>[1]Services!B$51/0.99</f>
        <v>2.1168852144036392</v>
      </c>
      <c r="G904" s="1">
        <f>[1]Services!C$51/0.99</f>
        <v>2.2929908330005162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25">
      <c r="B905" s="5" t="str">
        <f t="shared" si="584"/>
        <v>SPS4</v>
      </c>
      <c r="C905" s="5" t="str">
        <f t="shared" si="583"/>
        <v>CH</v>
      </c>
      <c r="D905" t="s">
        <v>507</v>
      </c>
      <c r="E905" t="s">
        <v>8</v>
      </c>
      <c r="F905" s="1">
        <f>F904-SUM(F906:F909)</f>
        <v>1.4243064638899359</v>
      </c>
      <c r="G905" s="1">
        <f t="shared" ref="G905:K905" si="595">G904-SUM(G906:G909)</f>
        <v>1.5427785628829285</v>
      </c>
      <c r="H905" s="1">
        <f t="shared" si="595"/>
        <v>-1.3474501629118139E-2</v>
      </c>
      <c r="I905" s="1">
        <f t="shared" si="595"/>
        <v>-1.5692999799570697E-2</v>
      </c>
      <c r="J905" s="1">
        <f t="shared" si="595"/>
        <v>-4.1516965837064455E-2</v>
      </c>
      <c r="K905" s="1">
        <f t="shared" si="595"/>
        <v>-2.9092701756748144E-3</v>
      </c>
    </row>
    <row r="906" spans="2:11" x14ac:dyDescent="0.25">
      <c r="B906" s="5" t="str">
        <f t="shared" si="584"/>
        <v>SPS4</v>
      </c>
      <c r="C906" s="5" t="str">
        <f t="shared" si="583"/>
        <v>CH</v>
      </c>
      <c r="D906" t="s">
        <v>503</v>
      </c>
      <c r="E906" t="s">
        <v>8</v>
      </c>
      <c r="F906" s="1">
        <f t="shared" ref="F906:K907" si="596">F247</f>
        <v>0.69257875051370332</v>
      </c>
      <c r="G906" s="1">
        <f t="shared" si="596"/>
        <v>0.75021227011758773</v>
      </c>
      <c r="H906" s="1">
        <f t="shared" si="596"/>
        <v>1.3474501629118139E-2</v>
      </c>
      <c r="I906" s="1">
        <f t="shared" si="596"/>
        <v>1.4389118351624925E-2</v>
      </c>
      <c r="J906" s="1">
        <f t="shared" si="596"/>
        <v>3.8387155893263726E-2</v>
      </c>
      <c r="K906" s="1">
        <f t="shared" si="596"/>
        <v>5.3700253677756312E-4</v>
      </c>
    </row>
    <row r="907" spans="2:11" x14ac:dyDescent="0.25">
      <c r="B907" s="5" t="str">
        <f t="shared" si="584"/>
        <v>SPS4</v>
      </c>
      <c r="C907" s="5" t="str">
        <f t="shared" si="583"/>
        <v>CH</v>
      </c>
      <c r="D907" t="s">
        <v>504</v>
      </c>
      <c r="E907" t="s">
        <v>8</v>
      </c>
      <c r="F907" s="1">
        <f t="shared" si="596"/>
        <v>0</v>
      </c>
      <c r="G907" s="1">
        <f t="shared" si="596"/>
        <v>0</v>
      </c>
      <c r="H907" s="1">
        <f t="shared" si="596"/>
        <v>0</v>
      </c>
      <c r="I907" s="1">
        <f t="shared" si="596"/>
        <v>5.1527947882930712E-5</v>
      </c>
      <c r="J907" s="1">
        <f t="shared" si="596"/>
        <v>1.991002775220557E-3</v>
      </c>
      <c r="K907" s="1">
        <f t="shared" si="596"/>
        <v>1.9398430280936209E-3</v>
      </c>
    </row>
    <row r="908" spans="2:11" x14ac:dyDescent="0.25">
      <c r="B908" s="5" t="str">
        <f t="shared" si="584"/>
        <v>SPS4</v>
      </c>
      <c r="C908" s="5" t="str">
        <f t="shared" si="583"/>
        <v>CH</v>
      </c>
      <c r="D908" t="s">
        <v>505</v>
      </c>
      <c r="E908" t="s">
        <v>8</v>
      </c>
      <c r="F908" s="1">
        <f t="shared" ref="F908:K908" si="597">F285</f>
        <v>0</v>
      </c>
      <c r="G908" s="1">
        <f t="shared" si="597"/>
        <v>0</v>
      </c>
      <c r="H908" s="1">
        <f t="shared" si="597"/>
        <v>0</v>
      </c>
      <c r="I908" s="1">
        <f t="shared" si="597"/>
        <v>9.3056911192281944E-4</v>
      </c>
      <c r="J908" s="1">
        <f t="shared" si="597"/>
        <v>8.1947846427180059E-4</v>
      </c>
      <c r="K908" s="1">
        <f t="shared" si="597"/>
        <v>2.5392942303324338E-4</v>
      </c>
    </row>
    <row r="909" spans="2:11" x14ac:dyDescent="0.25">
      <c r="B909" s="5" t="str">
        <f t="shared" si="584"/>
        <v>SPS4</v>
      </c>
      <c r="C909" s="5" t="str">
        <f t="shared" si="583"/>
        <v>CH</v>
      </c>
      <c r="D909" t="s">
        <v>506</v>
      </c>
      <c r="E909" t="s">
        <v>8</v>
      </c>
      <c r="F909" s="1">
        <f t="shared" ref="F909:K909" si="598">F288</f>
        <v>0</v>
      </c>
      <c r="G909" s="1">
        <f t="shared" si="598"/>
        <v>0</v>
      </c>
      <c r="H909" s="1">
        <f t="shared" si="598"/>
        <v>0</v>
      </c>
      <c r="I909" s="1">
        <f t="shared" si="598"/>
        <v>3.2178438814002314E-4</v>
      </c>
      <c r="J909" s="1">
        <f t="shared" si="598"/>
        <v>3.19328704308372E-4</v>
      </c>
      <c r="K909" s="1">
        <f t="shared" si="598"/>
        <v>1.7849518777038735E-4</v>
      </c>
    </row>
    <row r="910" spans="2:11" x14ac:dyDescent="0.25">
      <c r="B910" s="5" t="str">
        <f t="shared" si="584"/>
        <v>SPS4</v>
      </c>
      <c r="C910" s="5" t="str">
        <f t="shared" si="583"/>
        <v>CH</v>
      </c>
      <c r="D910" t="s">
        <v>971</v>
      </c>
      <c r="E910" t="s">
        <v>8</v>
      </c>
      <c r="F910" s="1">
        <f>F903-F904</f>
        <v>5.6100019612470611</v>
      </c>
      <c r="G910" s="1">
        <f t="shared" ref="G910:K910" si="599">G903-G904</f>
        <v>6.0767035911851117</v>
      </c>
      <c r="H910" s="1">
        <f t="shared" si="599"/>
        <v>5.927329426930628</v>
      </c>
      <c r="I910" s="1">
        <f t="shared" si="599"/>
        <v>6.7886448761595863</v>
      </c>
      <c r="J910" s="1">
        <f t="shared" si="599"/>
        <v>7.4384098249013153</v>
      </c>
      <c r="K910" s="1">
        <f t="shared" si="599"/>
        <v>7.598040059595057</v>
      </c>
    </row>
    <row r="911" spans="2:11" x14ac:dyDescent="0.25">
      <c r="B911" s="5" t="str">
        <f t="shared" si="584"/>
        <v>SPS4</v>
      </c>
      <c r="C911" s="5" t="str">
        <f t="shared" si="583"/>
        <v>CH</v>
      </c>
      <c r="D911" t="s">
        <v>972</v>
      </c>
      <c r="E911" t="s">
        <v>8</v>
      </c>
      <c r="F911" s="1">
        <f>F912</f>
        <v>8.5743683011800709</v>
      </c>
      <c r="G911" s="1">
        <f t="shared" ref="G911:K911" si="600">G912</f>
        <v>9.3211780743224981</v>
      </c>
      <c r="H911" s="1">
        <f t="shared" si="600"/>
        <v>9.4935217103454388</v>
      </c>
      <c r="I911" s="1">
        <f t="shared" si="600"/>
        <v>9.8919021417054758</v>
      </c>
      <c r="J911" s="1">
        <f t="shared" si="600"/>
        <v>9.4753372697097831</v>
      </c>
      <c r="K911" s="1">
        <f t="shared" si="600"/>
        <v>9.2921341736908278</v>
      </c>
    </row>
    <row r="912" spans="2:11" x14ac:dyDescent="0.25">
      <c r="B912" s="5" t="str">
        <f t="shared" si="584"/>
        <v>SPS4</v>
      </c>
      <c r="C912" s="5" t="str">
        <f t="shared" si="583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8.5743683011800709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9.3211780743224981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9.4935217103454388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9.8919021417054758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9.4753372697097831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9.2921341736908278</v>
      </c>
    </row>
    <row r="913" spans="2:12" x14ac:dyDescent="0.25">
      <c r="B913" s="5" t="str">
        <f t="shared" si="584"/>
        <v>SPS4</v>
      </c>
      <c r="C913" s="5" t="str">
        <f t="shared" si="583"/>
        <v>CH</v>
      </c>
      <c r="D913" t="s">
        <v>974</v>
      </c>
      <c r="E913" t="s">
        <v>8</v>
      </c>
      <c r="F913" s="1">
        <f>F914</f>
        <v>2.0856342445062372</v>
      </c>
      <c r="G913" s="1">
        <f t="shared" ref="G913:K913" si="601">G914</f>
        <v>2.4000914149439159</v>
      </c>
      <c r="H913" s="1">
        <f t="shared" si="601"/>
        <v>0.64940774413807467</v>
      </c>
      <c r="I913" s="1">
        <f t="shared" si="601"/>
        <v>1.2835139123502017</v>
      </c>
      <c r="J913" s="1">
        <f t="shared" si="601"/>
        <v>2.2080386990974121</v>
      </c>
      <c r="K913" s="1">
        <f t="shared" si="601"/>
        <v>2.9279494033598921</v>
      </c>
    </row>
    <row r="914" spans="2:12" x14ac:dyDescent="0.25">
      <c r="B914" s="5" t="str">
        <f t="shared" si="584"/>
        <v>SPS4</v>
      </c>
      <c r="C914" s="5" t="str">
        <f t="shared" si="583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2.0856342445062372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2.4000914149439159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0.64940774413807467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1.2835139123502017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2.2080386990974121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2.9279494033598921</v>
      </c>
    </row>
    <row r="915" spans="2:12" x14ac:dyDescent="0.25">
      <c r="B915" s="5" t="str">
        <f t="shared" si="584"/>
        <v>SPS4</v>
      </c>
      <c r="C915" s="5" t="str">
        <f t="shared" si="583"/>
        <v>CH</v>
      </c>
      <c r="D915" t="s">
        <v>976</v>
      </c>
      <c r="E915" t="s">
        <v>8</v>
      </c>
      <c r="F915" s="1">
        <f>F916</f>
        <v>0.62699491223293335</v>
      </c>
      <c r="G915" s="1">
        <f t="shared" ref="G915:K915" si="602">G916</f>
        <v>0.68733408081230318</v>
      </c>
      <c r="H915" s="1">
        <f t="shared" si="602"/>
        <v>0.53383583675907753</v>
      </c>
      <c r="I915" s="1">
        <f t="shared" si="602"/>
        <v>0.61701414120713738</v>
      </c>
      <c r="J915" s="1">
        <f t="shared" si="602"/>
        <v>0.72872533980703214</v>
      </c>
      <c r="K915" s="1">
        <f t="shared" si="602"/>
        <v>0.86695119099290019</v>
      </c>
    </row>
    <row r="916" spans="2:12" x14ac:dyDescent="0.25">
      <c r="B916" s="5" t="str">
        <f t="shared" si="584"/>
        <v>SPS4</v>
      </c>
      <c r="C916" s="5" t="str">
        <f t="shared" si="583"/>
        <v>CH</v>
      </c>
      <c r="D916" t="s">
        <v>977</v>
      </c>
      <c r="E916" t="s">
        <v>8</v>
      </c>
      <c r="F916" s="1">
        <f>[1]Services!B$19</f>
        <v>0.62699491223293335</v>
      </c>
      <c r="G916" s="1">
        <f>[1]Services!C$19</f>
        <v>0.68733408081230318</v>
      </c>
      <c r="H916" s="1">
        <f>[1]Services!D$19</f>
        <v>0.53383583675907753</v>
      </c>
      <c r="I916" s="1">
        <f>[1]Services!E$19</f>
        <v>0.61701414120713738</v>
      </c>
      <c r="J916" s="1">
        <f>[1]Services!F$19</f>
        <v>0.72872533980703214</v>
      </c>
      <c r="K916" s="1">
        <f>[1]Services!G$19</f>
        <v>0.86695119099290019</v>
      </c>
    </row>
    <row r="917" spans="2:12" x14ac:dyDescent="0.25">
      <c r="B917" s="5" t="str">
        <f t="shared" si="584"/>
        <v>SPS4</v>
      </c>
      <c r="C917" s="5" t="str">
        <f t="shared" si="583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1.4840487611223845E-2</v>
      </c>
      <c r="I917" s="1">
        <f>[1]Services!E$20</f>
        <v>2.7840096599562913E-4</v>
      </c>
      <c r="J917" s="1">
        <f>[1]Services!F$20</f>
        <v>6.4297277899937999E-4</v>
      </c>
      <c r="K917" s="1">
        <f>[1]Services!G$20</f>
        <v>2.1271412503754489E-2</v>
      </c>
    </row>
    <row r="918" spans="2:12" x14ac:dyDescent="0.25">
      <c r="B918" s="5" t="str">
        <f t="shared" si="584"/>
        <v>SPS4</v>
      </c>
      <c r="C918" s="5" t="str">
        <f t="shared" si="583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03">G917-G919</f>
        <v>0</v>
      </c>
      <c r="H918" s="1">
        <f t="shared" si="603"/>
        <v>0</v>
      </c>
      <c r="I918" s="1">
        <f t="shared" si="603"/>
        <v>0</v>
      </c>
      <c r="J918" s="1">
        <f t="shared" si="603"/>
        <v>0</v>
      </c>
      <c r="K918" s="1">
        <f t="shared" si="603"/>
        <v>0</v>
      </c>
    </row>
    <row r="919" spans="2:12" x14ac:dyDescent="0.25">
      <c r="B919" s="5" t="str">
        <f t="shared" si="584"/>
        <v>SPS4</v>
      </c>
      <c r="C919" s="5" t="str">
        <f t="shared" si="583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04">G920</f>
        <v>0</v>
      </c>
      <c r="H919" s="1">
        <f t="shared" si="604"/>
        <v>1.4840487611223845E-2</v>
      </c>
      <c r="I919" s="1">
        <f t="shared" si="604"/>
        <v>2.7840096599562913E-4</v>
      </c>
      <c r="J919" s="1">
        <f t="shared" si="604"/>
        <v>6.4297277899937999E-4</v>
      </c>
      <c r="K919" s="1">
        <f t="shared" si="604"/>
        <v>2.1271412503754489E-2</v>
      </c>
    </row>
    <row r="920" spans="2:12" x14ac:dyDescent="0.25">
      <c r="B920" s="5" t="str">
        <f t="shared" si="584"/>
        <v>SPS4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1.4840487611223845E-2</v>
      </c>
      <c r="I920" s="1">
        <f>[1]Services!E$20</f>
        <v>2.7840096599562913E-4</v>
      </c>
      <c r="J920" s="1">
        <f>[1]Services!F$20</f>
        <v>6.4297277899937999E-4</v>
      </c>
      <c r="K920" s="1">
        <f>[1]Services!G$20</f>
        <v>2.1271412503754489E-2</v>
      </c>
    </row>
    <row r="921" spans="2:12" x14ac:dyDescent="0.25">
      <c r="B921" s="5" t="str">
        <f t="shared" si="584"/>
        <v>SPS4</v>
      </c>
      <c r="C921" s="5" t="str">
        <f t="shared" si="583"/>
        <v>CH</v>
      </c>
      <c r="D921" t="s">
        <v>980</v>
      </c>
      <c r="E921" t="s">
        <v>8</v>
      </c>
      <c r="F921" s="1">
        <f>F922</f>
        <v>2.9295833916619576</v>
      </c>
      <c r="G921" s="1">
        <f t="shared" ref="G921:K921" si="605">G922</f>
        <v>3.1924499228234802</v>
      </c>
      <c r="H921" s="1">
        <f t="shared" si="605"/>
        <v>2.9650238782969947</v>
      </c>
      <c r="I921" s="1">
        <f t="shared" si="605"/>
        <v>4.7555058854300274</v>
      </c>
      <c r="J921" s="1">
        <f t="shared" si="605"/>
        <v>7.6315949794325944</v>
      </c>
      <c r="K921" s="1">
        <f t="shared" si="605"/>
        <v>10.613223592342258</v>
      </c>
    </row>
    <row r="922" spans="2:12" x14ac:dyDescent="0.25">
      <c r="B922" s="5" t="str">
        <f t="shared" si="584"/>
        <v>SPS4</v>
      </c>
      <c r="C922" s="5" t="str">
        <f t="shared" si="583"/>
        <v>CH</v>
      </c>
      <c r="D922" t="s">
        <v>981</v>
      </c>
      <c r="E922" t="s">
        <v>8</v>
      </c>
      <c r="F922" s="1">
        <f>[1]Services!B$21-F923</f>
        <v>2.9295833916619576</v>
      </c>
      <c r="G922" s="1">
        <f>[1]Services!C$21-G923</f>
        <v>3.1924499228234802</v>
      </c>
      <c r="H922" s="1">
        <f>[1]Services!D$21-H923</f>
        <v>2.9650238782969947</v>
      </c>
      <c r="I922" s="1">
        <f>[1]Services!E$21-I923</f>
        <v>4.7555058854300274</v>
      </c>
      <c r="J922" s="1">
        <f>[1]Services!F$21-J923</f>
        <v>7.6315949794325944</v>
      </c>
      <c r="K922" s="1">
        <f>[1]Services!G$21-K923</f>
        <v>10.613223592342258</v>
      </c>
    </row>
    <row r="923" spans="2:12" x14ac:dyDescent="0.25">
      <c r="B923" s="5" t="str">
        <f t="shared" si="584"/>
        <v>SPS4</v>
      </c>
      <c r="C923" s="5" t="str">
        <f t="shared" ref="C923" si="606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0.78789084514400298</v>
      </c>
      <c r="I923" s="1">
        <f>[1]Services!E$50-I894</f>
        <v>1.6146562407656861</v>
      </c>
      <c r="J923" s="1">
        <f>[1]Services!F$50-J894</f>
        <v>2.9003455672560152</v>
      </c>
      <c r="K923" s="1">
        <f>[1]Services!G$50-K894</f>
        <v>4.3257178851783546</v>
      </c>
    </row>
    <row r="924" spans="2:12" x14ac:dyDescent="0.25">
      <c r="B924" s="9" t="str">
        <f t="shared" si="584"/>
        <v>SPS4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73.238330497012896</v>
      </c>
      <c r="G924" s="17">
        <f>[1]Services!C$59</f>
        <v>78.573891628298384</v>
      </c>
      <c r="H924" s="17">
        <f>[1]Services!D$59</f>
        <v>63.323874721315477</v>
      </c>
      <c r="I924" s="17">
        <f>[1]Services!E$59</f>
        <v>62.697990963484685</v>
      </c>
      <c r="J924" s="17">
        <f>[1]Services!F$59</f>
        <v>61.442315159195026</v>
      </c>
      <c r="K924" s="17">
        <f>[1]Services!G$59</f>
        <v>60.766811173655533</v>
      </c>
    </row>
    <row r="925" spans="2:12" x14ac:dyDescent="0.25">
      <c r="B925" s="5" t="str">
        <f t="shared" si="584"/>
        <v>SPS4</v>
      </c>
      <c r="C925" s="5" t="str">
        <f>C924</f>
        <v>CH</v>
      </c>
      <c r="D925" t="s">
        <v>983</v>
      </c>
      <c r="E925" t="s">
        <v>8</v>
      </c>
      <c r="F925" s="1">
        <f>SUM(F926:F928)</f>
        <v>63.650024712347275</v>
      </c>
      <c r="G925" s="1">
        <f t="shared" ref="G925:K925" si="607">SUM(G926:G928)</f>
        <v>63.513650241980969</v>
      </c>
      <c r="H925" s="1">
        <f t="shared" si="607"/>
        <v>61.908449148521768</v>
      </c>
      <c r="I925" s="1">
        <f t="shared" si="607"/>
        <v>63.648099150893991</v>
      </c>
      <c r="J925" s="1">
        <f t="shared" si="607"/>
        <v>66.258333482657363</v>
      </c>
      <c r="K925" s="1">
        <f t="shared" si="607"/>
        <v>67.581125283541596</v>
      </c>
    </row>
    <row r="926" spans="2:12" x14ac:dyDescent="0.25">
      <c r="B926" s="5" t="str">
        <f t="shared" si="584"/>
        <v>SPS4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2.3940379313810793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0.19410472471884385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0.52189945983170993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0.35413498619481482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0.26264153284103542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0.19376869527737536</v>
      </c>
    </row>
    <row r="927" spans="2:12" x14ac:dyDescent="0.25">
      <c r="B927" s="5" t="str">
        <f t="shared" si="584"/>
        <v>SPS4</v>
      </c>
      <c r="C927" s="5" t="str">
        <f t="shared" ref="C927:C930" si="608">C926</f>
        <v>CH</v>
      </c>
      <c r="D927" t="s">
        <v>729</v>
      </c>
      <c r="E927" t="s">
        <v>8</v>
      </c>
      <c r="F927" s="1">
        <f>[1]Services!B$47</f>
        <v>4.2612122060537558</v>
      </c>
      <c r="G927" s="1">
        <f>[1]Services!C$47</f>
        <v>4.6176507812268195</v>
      </c>
      <c r="H927" s="1">
        <f>[1]Services!D$47</f>
        <v>4.5774343509492121</v>
      </c>
      <c r="I927" s="1">
        <f>[1]Services!E$47</f>
        <v>7.1085901203120958</v>
      </c>
      <c r="J927" s="1">
        <f>[1]Services!F$47</f>
        <v>11.037946141562642</v>
      </c>
      <c r="K927" s="1">
        <f>[1]Services!G$47</f>
        <v>14.91853765828338</v>
      </c>
    </row>
    <row r="928" spans="2:12" x14ac:dyDescent="0.25">
      <c r="B928" s="5" t="str">
        <f t="shared" si="584"/>
        <v>SPS4</v>
      </c>
      <c r="C928" s="5" t="str">
        <f t="shared" si="608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58.701894736035307</v>
      </c>
      <c r="H928" s="1">
        <f>[1]Services!D$3-([1]Services!D$6-[1]Services!D$58)</f>
        <v>56.809115337740849</v>
      </c>
      <c r="I928" s="1">
        <f>[1]Services!E$3-([1]Services!E$6-[1]Services!E$58)</f>
        <v>56.185374044387082</v>
      </c>
      <c r="J928" s="1">
        <f>[1]Services!F$3-([1]Services!F$6-[1]Services!F$58)</f>
        <v>54.957745808253691</v>
      </c>
      <c r="K928" s="1">
        <f>[1]Services!G$3-([1]Services!G$6-[1]Services!G$58)</f>
        <v>52.468818929980841</v>
      </c>
      <c r="L928" s="1"/>
    </row>
    <row r="929" spans="2:11" x14ac:dyDescent="0.25">
      <c r="B929" s="5" t="str">
        <f t="shared" si="584"/>
        <v>SPS4</v>
      </c>
      <c r="C929" s="5" t="str">
        <f t="shared" si="608"/>
        <v>CH</v>
      </c>
      <c r="D929" t="s">
        <v>1041</v>
      </c>
      <c r="E929" t="s">
        <v>8</v>
      </c>
      <c r="F929" s="1">
        <f>F930</f>
        <v>24.843069747374258</v>
      </c>
      <c r="G929" s="1">
        <f t="shared" ref="G929:K929" si="609">G930</f>
        <v>22.285521110705989</v>
      </c>
      <c r="H929" s="1">
        <f t="shared" si="609"/>
        <v>21.322466660380101</v>
      </c>
      <c r="I929" s="1">
        <f t="shared" si="609"/>
        <v>15.91965134229261</v>
      </c>
      <c r="J929" s="1">
        <f t="shared" si="609"/>
        <v>10.006711088249098</v>
      </c>
      <c r="K929" s="1">
        <f t="shared" si="609"/>
        <v>4.2519572530698886</v>
      </c>
    </row>
    <row r="930" spans="2:11" x14ac:dyDescent="0.25">
      <c r="B930" s="5" t="str">
        <f t="shared" si="584"/>
        <v>SPS4</v>
      </c>
      <c r="C930" s="5" t="str">
        <f t="shared" si="608"/>
        <v>CH</v>
      </c>
      <c r="D930" t="s">
        <v>1042</v>
      </c>
      <c r="E930" t="s">
        <v>8</v>
      </c>
      <c r="F930" s="1">
        <f>[1]Services!B$48</f>
        <v>24.843069747374258</v>
      </c>
      <c r="G930" s="1">
        <f>[1]Services!C$48</f>
        <v>22.285521110705989</v>
      </c>
      <c r="H930" s="1">
        <f>[1]Services!D$48</f>
        <v>21.322466660380101</v>
      </c>
      <c r="I930" s="1">
        <f>[1]Services!E$48</f>
        <v>15.91965134229261</v>
      </c>
      <c r="J930" s="1">
        <f>[1]Services!F$48</f>
        <v>10.006711088249098</v>
      </c>
      <c r="K930" s="1">
        <f>[1]Services!G$48</f>
        <v>4.2519572530698886</v>
      </c>
    </row>
    <row r="931" spans="2:11" x14ac:dyDescent="0.25">
      <c r="B931" s="5" t="str">
        <f t="shared" si="584"/>
        <v>SPS4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25.412781399171418</v>
      </c>
      <c r="G931" s="1">
        <f t="shared" ref="G931:K931" si="610">SUM(G932:G934)</f>
        <v>26.667686999092204</v>
      </c>
      <c r="H931" s="1">
        <f t="shared" si="610"/>
        <v>22.401017996589061</v>
      </c>
      <c r="I931" s="1">
        <f t="shared" si="610"/>
        <v>21.448063950080581</v>
      </c>
      <c r="J931" s="1">
        <f t="shared" si="610"/>
        <v>17.776559344697869</v>
      </c>
      <c r="K931" s="1">
        <f t="shared" si="610"/>
        <v>15.182303798844153</v>
      </c>
    </row>
    <row r="932" spans="2:11" x14ac:dyDescent="0.25">
      <c r="B932" s="5" t="str">
        <f t="shared" si="584"/>
        <v>SPS4</v>
      </c>
      <c r="C932" s="5" t="str">
        <f t="shared" ref="C932:C951" si="611">C931</f>
        <v>CH</v>
      </c>
      <c r="D932" t="s">
        <v>1044</v>
      </c>
      <c r="E932" t="s">
        <v>8</v>
      </c>
      <c r="F932" s="1">
        <f>[1]Services!B$49</f>
        <v>24.189714683775183</v>
      </c>
      <c r="G932" s="1">
        <f>[1]Services!C$49</f>
        <v>25.326920356442937</v>
      </c>
      <c r="H932" s="1">
        <f>[1]Services!D$49</f>
        <v>20.748831932014415</v>
      </c>
      <c r="I932" s="1">
        <f>[1]Services!E$49</f>
        <v>18.15555076519178</v>
      </c>
      <c r="J932" s="1">
        <f>[1]Services!F$49</f>
        <v>12.086367331747944</v>
      </c>
      <c r="K932" s="1">
        <f>[1]Services!G$49</f>
        <v>6.9818800950361535</v>
      </c>
    </row>
    <row r="933" spans="2:11" x14ac:dyDescent="0.25">
      <c r="B933" s="5" t="str">
        <f t="shared" si="584"/>
        <v>SPS4</v>
      </c>
      <c r="C933" s="5" t="str">
        <f t="shared" ref="C933" si="612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1.6521860645746476</v>
      </c>
      <c r="I933" s="1">
        <f>[1]Services!E$50</f>
        <v>3.292513184888799</v>
      </c>
      <c r="J933" s="1">
        <f>[1]Services!F$50</f>
        <v>5.6901920129499253</v>
      </c>
      <c r="K933" s="1">
        <f>[1]Services!G$50</f>
        <v>8.2004237038079992</v>
      </c>
    </row>
    <row r="934" spans="2:11" x14ac:dyDescent="0.25">
      <c r="B934" s="5" t="str">
        <f t="shared" si="584"/>
        <v>SPS4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1.2230667153962358</v>
      </c>
      <c r="G934" s="1">
        <f>[1]Services!C$56</f>
        <v>1.3407666426492684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25">
      <c r="B935" s="5" t="str">
        <f t="shared" si="584"/>
        <v>SPS4</v>
      </c>
      <c r="C935" s="5" t="str">
        <f t="shared" si="611"/>
        <v>CH</v>
      </c>
      <c r="D935" t="s">
        <v>984</v>
      </c>
      <c r="E935" t="s">
        <v>8</v>
      </c>
      <c r="F935" s="1">
        <f>F936+F942</f>
        <v>7.6496183038941972</v>
      </c>
      <c r="G935" s="1">
        <f t="shared" ref="G935:K935" si="613">G936+G942</f>
        <v>8.2859974799437737</v>
      </c>
      <c r="H935" s="1">
        <f t="shared" si="613"/>
        <v>4.8782314423027771</v>
      </c>
      <c r="I935" s="1">
        <f t="shared" si="613"/>
        <v>5.6120019375571957</v>
      </c>
      <c r="J935" s="1">
        <f t="shared" si="613"/>
        <v>6.1491462745810876</v>
      </c>
      <c r="K935" s="1">
        <f t="shared" si="613"/>
        <v>6.2811085737934098</v>
      </c>
    </row>
    <row r="936" spans="2:11" x14ac:dyDescent="0.25">
      <c r="B936" s="5" t="str">
        <f t="shared" si="584"/>
        <v>SPS4</v>
      </c>
      <c r="C936" s="5" t="str">
        <f t="shared" si="611"/>
        <v>CH</v>
      </c>
      <c r="D936" t="s">
        <v>985</v>
      </c>
      <c r="E936" t="s">
        <v>8</v>
      </c>
      <c r="F936" s="1">
        <f>[1]Services!B$51</f>
        <v>2.0957163622596027</v>
      </c>
      <c r="G936" s="1">
        <f>[1]Services!C$51</f>
        <v>2.2700609246705112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25">
      <c r="B937" s="5" t="str">
        <f t="shared" si="584"/>
        <v>SPS4</v>
      </c>
      <c r="C937" s="5" t="str">
        <f t="shared" si="611"/>
        <v>CH</v>
      </c>
      <c r="D937" t="s">
        <v>692</v>
      </c>
      <c r="E937" t="s">
        <v>8</v>
      </c>
      <c r="F937" s="1">
        <f>IFERROR(F905/F$904,0)*F$936</f>
        <v>1.4100633992510365</v>
      </c>
      <c r="G937" s="1">
        <f t="shared" ref="G937:K937" si="614">IFERROR(G905/G$904,0)*G$936</f>
        <v>1.5273507772540993</v>
      </c>
      <c r="H937" s="1">
        <f t="shared" si="614"/>
        <v>0</v>
      </c>
      <c r="I937" s="1">
        <f t="shared" si="614"/>
        <v>0</v>
      </c>
      <c r="J937" s="1">
        <f t="shared" si="614"/>
        <v>0</v>
      </c>
      <c r="K937" s="1">
        <f t="shared" si="614"/>
        <v>0</v>
      </c>
    </row>
    <row r="938" spans="2:11" x14ac:dyDescent="0.25">
      <c r="B938" s="5" t="str">
        <f t="shared" si="584"/>
        <v>SPS4</v>
      </c>
      <c r="C938" s="5" t="str">
        <f t="shared" si="611"/>
        <v>CH</v>
      </c>
      <c r="D938" t="s">
        <v>693</v>
      </c>
      <c r="E938" t="s">
        <v>8</v>
      </c>
      <c r="F938" s="1">
        <f>IFERROR(F906/F$904,0)*F$936</f>
        <v>0.68565296300856626</v>
      </c>
      <c r="G938" s="1">
        <f t="shared" ref="G938:K941" si="615">IFERROR(G906/G$904,0)*G$936</f>
        <v>0.74271014741641184</v>
      </c>
      <c r="H938" s="1">
        <f t="shared" si="615"/>
        <v>0</v>
      </c>
      <c r="I938" s="1">
        <f t="shared" si="615"/>
        <v>0</v>
      </c>
      <c r="J938" s="1">
        <f t="shared" si="615"/>
        <v>0</v>
      </c>
      <c r="K938" s="1">
        <f t="shared" si="615"/>
        <v>0</v>
      </c>
    </row>
    <row r="939" spans="2:11" x14ac:dyDescent="0.25">
      <c r="B939" s="5" t="str">
        <f t="shared" si="584"/>
        <v>SPS4</v>
      </c>
      <c r="C939" s="5" t="str">
        <f t="shared" si="611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15"/>
        <v>0</v>
      </c>
      <c r="H939" s="1">
        <f t="shared" si="615"/>
        <v>0</v>
      </c>
      <c r="I939" s="1">
        <f t="shared" si="615"/>
        <v>0</v>
      </c>
      <c r="J939" s="1">
        <f t="shared" si="615"/>
        <v>0</v>
      </c>
      <c r="K939" s="1">
        <f t="shared" si="615"/>
        <v>0</v>
      </c>
    </row>
    <row r="940" spans="2:11" x14ac:dyDescent="0.25">
      <c r="B940" s="5" t="str">
        <f t="shared" si="584"/>
        <v>SPS4</v>
      </c>
      <c r="C940" s="5" t="str">
        <f t="shared" si="611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15"/>
        <v>0</v>
      </c>
      <c r="H940" s="1">
        <f t="shared" si="615"/>
        <v>0</v>
      </c>
      <c r="I940" s="1">
        <f t="shared" si="615"/>
        <v>0</v>
      </c>
      <c r="J940" s="1">
        <f t="shared" si="615"/>
        <v>0</v>
      </c>
      <c r="K940" s="1">
        <f t="shared" si="615"/>
        <v>0</v>
      </c>
    </row>
    <row r="941" spans="2:11" x14ac:dyDescent="0.25">
      <c r="B941" s="5" t="str">
        <f t="shared" si="584"/>
        <v>SPS4</v>
      </c>
      <c r="C941" s="5" t="str">
        <f t="shared" si="611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15"/>
        <v>0</v>
      </c>
      <c r="H941" s="1">
        <f t="shared" si="615"/>
        <v>0</v>
      </c>
      <c r="I941" s="1">
        <f t="shared" si="615"/>
        <v>0</v>
      </c>
      <c r="J941" s="1">
        <f t="shared" si="615"/>
        <v>0</v>
      </c>
      <c r="K941" s="1">
        <f t="shared" si="615"/>
        <v>0</v>
      </c>
    </row>
    <row r="942" spans="2:11" x14ac:dyDescent="0.25">
      <c r="B942" s="5" t="str">
        <f t="shared" si="584"/>
        <v>SPS4</v>
      </c>
      <c r="C942" s="5" t="str">
        <f t="shared" si="611"/>
        <v>CH</v>
      </c>
      <c r="D942" t="s">
        <v>986</v>
      </c>
      <c r="E942" t="s">
        <v>8</v>
      </c>
      <c r="F942" s="1">
        <f>[1]Services!B$52</f>
        <v>5.5539019416345949</v>
      </c>
      <c r="G942" s="1">
        <f>[1]Services!C$52</f>
        <v>6.0159365552732629</v>
      </c>
      <c r="H942" s="1">
        <f>[1]Services!D$52</f>
        <v>4.8782314423027771</v>
      </c>
      <c r="I942" s="1">
        <f>[1]Services!E$52</f>
        <v>5.6120019375571957</v>
      </c>
      <c r="J942" s="1">
        <f>[1]Services!F$52</f>
        <v>6.1491462745810876</v>
      </c>
      <c r="K942" s="1">
        <f>[1]Services!G$52</f>
        <v>6.2811085737934098</v>
      </c>
    </row>
    <row r="943" spans="2:11" x14ac:dyDescent="0.25">
      <c r="B943" s="5" t="str">
        <f t="shared" si="584"/>
        <v>SPS4</v>
      </c>
      <c r="C943" s="5" t="str">
        <f t="shared" si="611"/>
        <v>CH</v>
      </c>
      <c r="D943" t="s">
        <v>987</v>
      </c>
      <c r="E943" t="s">
        <v>8</v>
      </c>
      <c r="F943" s="1">
        <f>F944</f>
        <v>6.1735451768496512</v>
      </c>
      <c r="G943" s="1">
        <f t="shared" ref="G943:K943" si="616">G944</f>
        <v>6.7112482135121931</v>
      </c>
      <c r="H943" s="1">
        <f t="shared" si="616"/>
        <v>6.4188145800137555</v>
      </c>
      <c r="I943" s="1">
        <f t="shared" si="616"/>
        <v>6.7111894039628988</v>
      </c>
      <c r="J943" s="1">
        <f t="shared" si="616"/>
        <v>6.428569770756682</v>
      </c>
      <c r="K943" s="1">
        <f t="shared" si="616"/>
        <v>6.3220871981990765</v>
      </c>
    </row>
    <row r="944" spans="2:11" x14ac:dyDescent="0.25">
      <c r="B944" s="5" t="str">
        <f t="shared" si="584"/>
        <v>SPS4</v>
      </c>
      <c r="C944" s="5" t="str">
        <f t="shared" si="611"/>
        <v>CH</v>
      </c>
      <c r="D944" t="s">
        <v>988</v>
      </c>
      <c r="E944" t="s">
        <v>8</v>
      </c>
      <c r="F944" s="1">
        <f>[1]Services!B$53</f>
        <v>6.1735451768496512</v>
      </c>
      <c r="G944" s="1">
        <f>[1]Services!C$53</f>
        <v>6.7112482135121931</v>
      </c>
      <c r="H944" s="1">
        <f>[1]Services!D$53</f>
        <v>6.4188145800137555</v>
      </c>
      <c r="I944" s="1">
        <f>[1]Services!E$53</f>
        <v>6.7111894039628988</v>
      </c>
      <c r="J944" s="1">
        <f>[1]Services!F$53</f>
        <v>6.428569770756682</v>
      </c>
      <c r="K944" s="1">
        <f>[1]Services!G$53</f>
        <v>6.3220871981990765</v>
      </c>
    </row>
    <row r="945" spans="2:11" x14ac:dyDescent="0.25">
      <c r="B945" s="5" t="str">
        <f t="shared" si="584"/>
        <v>SPS4</v>
      </c>
      <c r="C945" s="5" t="str">
        <f t="shared" si="611"/>
        <v>CH</v>
      </c>
      <c r="D945" t="s">
        <v>989</v>
      </c>
      <c r="E945" t="s">
        <v>8</v>
      </c>
      <c r="F945" s="1">
        <f>F946</f>
        <v>1.877070820055613</v>
      </c>
      <c r="G945" s="1">
        <f t="shared" ref="G945:K945" si="617">G946</f>
        <v>2.1600822734495249</v>
      </c>
      <c r="H945" s="1">
        <f t="shared" si="617"/>
        <v>0.43430009777469364</v>
      </c>
      <c r="I945" s="1">
        <f t="shared" si="617"/>
        <v>0.86381664536952363</v>
      </c>
      <c r="J945" s="1">
        <f t="shared" si="617"/>
        <v>1.4860303137719355</v>
      </c>
      <c r="K945" s="1">
        <f t="shared" si="617"/>
        <v>1.9705368263526495</v>
      </c>
    </row>
    <row r="946" spans="2:11" x14ac:dyDescent="0.25">
      <c r="B946" s="5" t="str">
        <f t="shared" si="584"/>
        <v>SPS4</v>
      </c>
      <c r="C946" s="5" t="str">
        <f t="shared" si="611"/>
        <v>CH</v>
      </c>
      <c r="D946" t="s">
        <v>990</v>
      </c>
      <c r="E946" t="s">
        <v>8</v>
      </c>
      <c r="F946" s="1">
        <f>[1]Services!B$54</f>
        <v>1.877070820055613</v>
      </c>
      <c r="G946" s="1">
        <f>[1]Services!C$54</f>
        <v>2.1600822734495249</v>
      </c>
      <c r="H946" s="1">
        <f>[1]Services!D$54</f>
        <v>0.43430009777469364</v>
      </c>
      <c r="I946" s="1">
        <f>[1]Services!E$54</f>
        <v>0.86381664536952363</v>
      </c>
      <c r="J946" s="1">
        <f>[1]Services!F$54</f>
        <v>1.4860303137719355</v>
      </c>
      <c r="K946" s="1">
        <f>[1]Services!G$54</f>
        <v>1.9705368263526495</v>
      </c>
    </row>
    <row r="947" spans="2:11" x14ac:dyDescent="0.25">
      <c r="B947" s="5" t="str">
        <f t="shared" si="584"/>
        <v>SPS4</v>
      </c>
      <c r="C947" s="5" t="str">
        <f t="shared" si="611"/>
        <v>CH</v>
      </c>
      <c r="D947" t="s">
        <v>991</v>
      </c>
      <c r="E947" t="s">
        <v>8</v>
      </c>
      <c r="F947" s="1">
        <f>F948</f>
        <v>0.62699491223293335</v>
      </c>
      <c r="G947" s="1">
        <f t="shared" ref="G947:K947" si="618">G948</f>
        <v>0.68733408081230318</v>
      </c>
      <c r="H947" s="1">
        <f t="shared" si="618"/>
        <v>0.53383583675907753</v>
      </c>
      <c r="I947" s="1">
        <f t="shared" si="618"/>
        <v>0.61701414120713738</v>
      </c>
      <c r="J947" s="1">
        <f t="shared" si="618"/>
        <v>0.72872533980703214</v>
      </c>
      <c r="K947" s="1">
        <f t="shared" si="618"/>
        <v>0.86695119099290019</v>
      </c>
    </row>
    <row r="948" spans="2:11" x14ac:dyDescent="0.25">
      <c r="B948" s="5" t="str">
        <f t="shared" ref="B948:B1011" si="619">B947</f>
        <v>SPS4</v>
      </c>
      <c r="C948" s="5" t="str">
        <f t="shared" si="611"/>
        <v>CH</v>
      </c>
      <c r="D948" t="s">
        <v>992</v>
      </c>
      <c r="E948" t="s">
        <v>8</v>
      </c>
      <c r="F948" s="1">
        <f>[1]Services!B$55</f>
        <v>0.62699491223293335</v>
      </c>
      <c r="G948" s="1">
        <f>[1]Services!C$55</f>
        <v>0.68733408081230318</v>
      </c>
      <c r="H948" s="1">
        <f>[1]Services!D$55</f>
        <v>0.53383583675907753</v>
      </c>
      <c r="I948" s="1">
        <f>[1]Services!E$55</f>
        <v>0.61701414120713738</v>
      </c>
      <c r="J948" s="1">
        <f>[1]Services!F$55</f>
        <v>0.72872533980703214</v>
      </c>
      <c r="K948" s="1">
        <f>[1]Services!G$55</f>
        <v>0.86695119099290019</v>
      </c>
    </row>
    <row r="949" spans="2:11" x14ac:dyDescent="0.25">
      <c r="B949" s="5" t="str">
        <f t="shared" si="619"/>
        <v>SPS4</v>
      </c>
      <c r="C949" s="5" t="str">
        <f t="shared" si="611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20">G950</f>
        <v>0</v>
      </c>
      <c r="H949" s="1">
        <f t="shared" si="620"/>
        <v>0</v>
      </c>
      <c r="I949" s="1">
        <f t="shared" si="620"/>
        <v>0</v>
      </c>
      <c r="J949" s="1">
        <f t="shared" si="620"/>
        <v>0</v>
      </c>
      <c r="K949" s="1">
        <f t="shared" si="620"/>
        <v>0</v>
      </c>
    </row>
    <row r="950" spans="2:11" x14ac:dyDescent="0.25">
      <c r="B950" s="5" t="str">
        <f t="shared" si="619"/>
        <v>SPS4</v>
      </c>
      <c r="C950" s="5" t="str">
        <f t="shared" si="611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25">
      <c r="B951" s="5" t="str">
        <f t="shared" si="619"/>
        <v>SPS4</v>
      </c>
      <c r="C951" s="5" t="str">
        <f t="shared" si="611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6.9642659648367298</v>
      </c>
      <c r="H951" s="1">
        <f>[1]Services!D$58</f>
        <v>2.2358742967150915</v>
      </c>
      <c r="I951" s="1">
        <f>[1]Services!E$58</f>
        <v>4.0635284365078341</v>
      </c>
      <c r="J951" s="1">
        <f>[1]Services!F$58</f>
        <v>7.5659853529276413</v>
      </c>
      <c r="K951" s="1">
        <f>[1]Services!G$58</f>
        <v>10.779559978842698</v>
      </c>
    </row>
    <row r="952" spans="2:11" x14ac:dyDescent="0.25">
      <c r="B952" s="5" t="str">
        <f t="shared" si="619"/>
        <v>SPS4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si="619"/>
        <v>SPS4</v>
      </c>
      <c r="C953" s="5" t="str">
        <f t="shared" ref="C953:C969" si="621">C952</f>
        <v>CH</v>
      </c>
      <c r="D953" t="s">
        <v>761</v>
      </c>
      <c r="E953" t="s">
        <v>240</v>
      </c>
      <c r="F953" s="4">
        <f t="shared" ref="F953:K955" si="622">IFERROR(F926/F882,"-")</f>
        <v>0.91249999999999931</v>
      </c>
      <c r="G953" s="4">
        <f t="shared" si="622"/>
        <v>0.91499999999999915</v>
      </c>
      <c r="H953" s="4">
        <f t="shared" si="622"/>
        <v>0.47254872333498577</v>
      </c>
      <c r="I953" s="4">
        <f t="shared" si="622"/>
        <v>0.48542425303324982</v>
      </c>
      <c r="J953" s="4">
        <f t="shared" si="622"/>
        <v>0.50246919915003629</v>
      </c>
      <c r="K953" s="4">
        <f t="shared" si="622"/>
        <v>0.52502582584140856</v>
      </c>
    </row>
    <row r="954" spans="2:11" x14ac:dyDescent="0.25">
      <c r="B954" s="5" t="str">
        <f t="shared" si="619"/>
        <v>SPS4</v>
      </c>
      <c r="C954" s="5" t="str">
        <f t="shared" si="621"/>
        <v>CH</v>
      </c>
      <c r="D954" t="s">
        <v>730</v>
      </c>
      <c r="E954" t="s">
        <v>240</v>
      </c>
      <c r="F954" s="4">
        <f t="shared" si="622"/>
        <v>3.2000000000000011</v>
      </c>
      <c r="G954" s="4">
        <f t="shared" si="622"/>
        <v>3.24</v>
      </c>
      <c r="H954" s="4">
        <f t="shared" si="622"/>
        <v>2.8388765941341805</v>
      </c>
      <c r="I954" s="4">
        <f t="shared" si="622"/>
        <v>3.020967126860362</v>
      </c>
      <c r="J954" s="4">
        <f t="shared" si="622"/>
        <v>3.2404017132104599</v>
      </c>
      <c r="K954" s="4">
        <f t="shared" si="622"/>
        <v>3.4651450346682782</v>
      </c>
    </row>
    <row r="955" spans="2:11" x14ac:dyDescent="0.25">
      <c r="B955" s="5" t="str">
        <f t="shared" si="619"/>
        <v>SPS4</v>
      </c>
      <c r="C955" s="5" t="str">
        <f t="shared" si="621"/>
        <v>CH</v>
      </c>
      <c r="D955" t="s">
        <v>699</v>
      </c>
      <c r="E955" t="s">
        <v>240</v>
      </c>
      <c r="F955" s="4">
        <f t="shared" si="622"/>
        <v>1</v>
      </c>
      <c r="G955" s="4">
        <f t="shared" si="622"/>
        <v>1</v>
      </c>
      <c r="H955" s="4">
        <f t="shared" si="622"/>
        <v>1</v>
      </c>
      <c r="I955" s="4">
        <f t="shared" si="622"/>
        <v>1</v>
      </c>
      <c r="J955" s="4">
        <f t="shared" si="622"/>
        <v>1</v>
      </c>
      <c r="K955" s="4">
        <f t="shared" si="622"/>
        <v>0.99999999999999989</v>
      </c>
    </row>
    <row r="956" spans="2:11" x14ac:dyDescent="0.25">
      <c r="B956" s="5" t="str">
        <f t="shared" si="619"/>
        <v>SPS4</v>
      </c>
      <c r="C956" s="5" t="str">
        <f t="shared" si="621"/>
        <v>CH</v>
      </c>
      <c r="D956" t="s">
        <v>700</v>
      </c>
      <c r="E956" t="s">
        <v>240</v>
      </c>
      <c r="F956" s="4">
        <f t="shared" ref="F956:K956" si="623">IFERROR(F930/F886,"-")</f>
        <v>0.82107843137254899</v>
      </c>
      <c r="G956" s="4">
        <f t="shared" si="623"/>
        <v>0.82270432925645498</v>
      </c>
      <c r="H956" s="4">
        <f t="shared" si="623"/>
        <v>0.79447021250902028</v>
      </c>
      <c r="I956" s="4">
        <f t="shared" si="623"/>
        <v>0.81044422767174462</v>
      </c>
      <c r="J956" s="4">
        <f t="shared" si="623"/>
        <v>0.81718192394088207</v>
      </c>
      <c r="K956" s="4">
        <f t="shared" si="623"/>
        <v>0.81718192394088252</v>
      </c>
    </row>
    <row r="957" spans="2:11" x14ac:dyDescent="0.25">
      <c r="B957" s="5" t="str">
        <f t="shared" si="619"/>
        <v>SPS4</v>
      </c>
      <c r="C957" s="5" t="str">
        <f t="shared" si="621"/>
        <v>CH</v>
      </c>
      <c r="D957" t="s">
        <v>701</v>
      </c>
      <c r="E957" t="s">
        <v>240</v>
      </c>
      <c r="F957" s="4">
        <f t="shared" ref="F957:K959" si="624">IFERROR(F932/F893,"-")</f>
        <v>0.94680851063829774</v>
      </c>
      <c r="G957" s="4">
        <f t="shared" si="624"/>
        <v>0.94680851063829885</v>
      </c>
      <c r="H957" s="4">
        <f t="shared" si="624"/>
        <v>0.82684808055062819</v>
      </c>
      <c r="I957" s="4">
        <f t="shared" si="624"/>
        <v>0.80011004641421601</v>
      </c>
      <c r="J957" s="4">
        <f t="shared" si="624"/>
        <v>0.72150135166217721</v>
      </c>
      <c r="K957" s="4">
        <f t="shared" si="624"/>
        <v>0.58577318387557564</v>
      </c>
    </row>
    <row r="958" spans="2:11" x14ac:dyDescent="0.25">
      <c r="B958" s="5" t="str">
        <f t="shared" si="619"/>
        <v>SPS4</v>
      </c>
      <c r="C958" s="5" t="str">
        <f t="shared" si="621"/>
        <v>CH</v>
      </c>
      <c r="D958" t="s">
        <v>731</v>
      </c>
      <c r="E958" t="s">
        <v>240</v>
      </c>
      <c r="F958" s="4" t="str">
        <f t="shared" si="624"/>
        <v>-</v>
      </c>
      <c r="G958" s="4" t="str">
        <f t="shared" si="624"/>
        <v>-</v>
      </c>
      <c r="H958" s="4">
        <f t="shared" si="624"/>
        <v>1.9115992168312894</v>
      </c>
      <c r="I958" s="4">
        <f t="shared" si="624"/>
        <v>1.9623324839589009</v>
      </c>
      <c r="J958" s="4">
        <f t="shared" si="624"/>
        <v>2.0396075998134804</v>
      </c>
      <c r="K958" s="4">
        <f t="shared" si="624"/>
        <v>2.1163990474787111</v>
      </c>
    </row>
    <row r="959" spans="2:11" x14ac:dyDescent="0.25">
      <c r="B959" s="5" t="str">
        <f t="shared" si="619"/>
        <v>SPS4</v>
      </c>
      <c r="C959" s="5" t="str">
        <f t="shared" si="621"/>
        <v>CH</v>
      </c>
      <c r="D959" t="s">
        <v>702</v>
      </c>
      <c r="E959" t="s">
        <v>240</v>
      </c>
      <c r="F959" s="4">
        <f t="shared" si="624"/>
        <v>0.8722000000000002</v>
      </c>
      <c r="G959" s="4">
        <f t="shared" si="624"/>
        <v>0.87219999999999986</v>
      </c>
      <c r="H959" s="4" t="str">
        <f t="shared" si="624"/>
        <v>-</v>
      </c>
      <c r="I959" s="4" t="str">
        <f t="shared" si="624"/>
        <v>-</v>
      </c>
      <c r="J959" s="4" t="str">
        <f t="shared" si="624"/>
        <v>-</v>
      </c>
      <c r="K959" s="4" t="str">
        <f t="shared" si="624"/>
        <v>-</v>
      </c>
    </row>
    <row r="960" spans="2:11" x14ac:dyDescent="0.25">
      <c r="B960" s="5" t="str">
        <f t="shared" si="619"/>
        <v>SPS4</v>
      </c>
      <c r="C960" s="5" t="str">
        <f>C959</f>
        <v>CH</v>
      </c>
      <c r="D960" t="s">
        <v>703</v>
      </c>
      <c r="E960" t="s">
        <v>240</v>
      </c>
      <c r="F960" s="4">
        <f t="shared" ref="F960:K965" si="625">IFERROR(F937/F905,"-")</f>
        <v>0.99</v>
      </c>
      <c r="G960" s="4">
        <f t="shared" si="625"/>
        <v>0.9900000000000001</v>
      </c>
      <c r="H960" s="4">
        <f t="shared" si="625"/>
        <v>0</v>
      </c>
      <c r="I960" s="4">
        <f t="shared" si="625"/>
        <v>0</v>
      </c>
      <c r="J960" s="4">
        <f t="shared" si="625"/>
        <v>0</v>
      </c>
      <c r="K960" s="4">
        <f t="shared" si="625"/>
        <v>0</v>
      </c>
    </row>
    <row r="961" spans="2:11" x14ac:dyDescent="0.25">
      <c r="B961" s="5" t="str">
        <f t="shared" si="619"/>
        <v>SPS4</v>
      </c>
      <c r="C961" s="5" t="str">
        <f t="shared" si="621"/>
        <v>CH</v>
      </c>
      <c r="D961" t="s">
        <v>704</v>
      </c>
      <c r="E961" t="s">
        <v>240</v>
      </c>
      <c r="F961" s="4">
        <f t="shared" si="625"/>
        <v>0.99</v>
      </c>
      <c r="G961" s="4">
        <f t="shared" si="625"/>
        <v>0.99</v>
      </c>
      <c r="H961" s="4">
        <f t="shared" si="625"/>
        <v>0</v>
      </c>
      <c r="I961" s="4">
        <f t="shared" si="625"/>
        <v>0</v>
      </c>
      <c r="J961" s="4">
        <f t="shared" si="625"/>
        <v>0</v>
      </c>
      <c r="K961" s="4">
        <f t="shared" si="625"/>
        <v>0</v>
      </c>
    </row>
    <row r="962" spans="2:11" x14ac:dyDescent="0.25">
      <c r="B962" s="5" t="str">
        <f t="shared" si="619"/>
        <v>SPS4</v>
      </c>
      <c r="C962" s="5" t="str">
        <f t="shared" si="621"/>
        <v>CH</v>
      </c>
      <c r="D962" t="s">
        <v>705</v>
      </c>
      <c r="E962" t="s">
        <v>240</v>
      </c>
      <c r="F962" s="4" t="str">
        <f t="shared" si="625"/>
        <v>-</v>
      </c>
      <c r="G962" s="4" t="str">
        <f t="shared" si="625"/>
        <v>-</v>
      </c>
      <c r="H962" s="4" t="str">
        <f t="shared" si="625"/>
        <v>-</v>
      </c>
      <c r="I962" s="4">
        <f t="shared" si="625"/>
        <v>0</v>
      </c>
      <c r="J962" s="4">
        <f t="shared" si="625"/>
        <v>0</v>
      </c>
      <c r="K962" s="4">
        <f t="shared" si="625"/>
        <v>0</v>
      </c>
    </row>
    <row r="963" spans="2:11" x14ac:dyDescent="0.25">
      <c r="B963" s="5" t="str">
        <f t="shared" si="619"/>
        <v>SPS4</v>
      </c>
      <c r="C963" s="5" t="str">
        <f t="shared" si="621"/>
        <v>CH</v>
      </c>
      <c r="D963" t="s">
        <v>706</v>
      </c>
      <c r="E963" t="s">
        <v>240</v>
      </c>
      <c r="F963" s="4" t="str">
        <f t="shared" si="625"/>
        <v>-</v>
      </c>
      <c r="G963" s="4" t="str">
        <f t="shared" si="625"/>
        <v>-</v>
      </c>
      <c r="H963" s="4" t="str">
        <f t="shared" si="625"/>
        <v>-</v>
      </c>
      <c r="I963" s="4">
        <f t="shared" si="625"/>
        <v>0</v>
      </c>
      <c r="J963" s="4">
        <f t="shared" si="625"/>
        <v>0</v>
      </c>
      <c r="K963" s="4">
        <f t="shared" si="625"/>
        <v>0</v>
      </c>
    </row>
    <row r="964" spans="2:11" x14ac:dyDescent="0.25">
      <c r="B964" s="5" t="str">
        <f t="shared" si="619"/>
        <v>SPS4</v>
      </c>
      <c r="C964" s="5" t="str">
        <f t="shared" si="621"/>
        <v>CH</v>
      </c>
      <c r="D964" t="s">
        <v>707</v>
      </c>
      <c r="E964" t="s">
        <v>240</v>
      </c>
      <c r="F964" s="4" t="str">
        <f t="shared" si="625"/>
        <v>-</v>
      </c>
      <c r="G964" s="4" t="str">
        <f t="shared" si="625"/>
        <v>-</v>
      </c>
      <c r="H964" s="4" t="str">
        <f t="shared" si="625"/>
        <v>-</v>
      </c>
      <c r="I964" s="4">
        <f t="shared" si="625"/>
        <v>0</v>
      </c>
      <c r="J964" s="4">
        <f t="shared" si="625"/>
        <v>0</v>
      </c>
      <c r="K964" s="4">
        <f t="shared" si="625"/>
        <v>0</v>
      </c>
    </row>
    <row r="965" spans="2:11" x14ac:dyDescent="0.25">
      <c r="B965" s="5" t="str">
        <f t="shared" si="619"/>
        <v>SPS4</v>
      </c>
      <c r="C965" s="5" t="str">
        <f t="shared" si="621"/>
        <v>CH</v>
      </c>
      <c r="D965" t="s">
        <v>996</v>
      </c>
      <c r="E965" t="s">
        <v>240</v>
      </c>
      <c r="F965" s="4">
        <f t="shared" si="625"/>
        <v>0.99000000000000077</v>
      </c>
      <c r="G965" s="4">
        <f t="shared" si="625"/>
        <v>0.99000000000000032</v>
      </c>
      <c r="H965" s="4">
        <f t="shared" si="625"/>
        <v>0.82300663434340116</v>
      </c>
      <c r="I965" s="4">
        <f t="shared" si="625"/>
        <v>0.82667484305527095</v>
      </c>
      <c r="J965" s="4">
        <f t="shared" si="625"/>
        <v>0.82667484305527195</v>
      </c>
      <c r="K965" s="4">
        <f t="shared" si="625"/>
        <v>0.8266748430552715</v>
      </c>
    </row>
    <row r="966" spans="2:11" x14ac:dyDescent="0.25">
      <c r="B966" s="5" t="str">
        <f t="shared" si="619"/>
        <v>SPS4</v>
      </c>
      <c r="C966" s="5" t="str">
        <f t="shared" si="621"/>
        <v>CH</v>
      </c>
      <c r="D966" t="s">
        <v>997</v>
      </c>
      <c r="E966" t="s">
        <v>240</v>
      </c>
      <c r="F966" s="4">
        <f t="shared" ref="F966:K966" si="626">IFERROR(F944/F911,"-")</f>
        <v>0.72</v>
      </c>
      <c r="G966" s="4">
        <f t="shared" si="626"/>
        <v>0.71999999999999942</v>
      </c>
      <c r="H966" s="4">
        <f t="shared" si="626"/>
        <v>0.67612575984515189</v>
      </c>
      <c r="I966" s="4">
        <f t="shared" si="626"/>
        <v>0.67845287062310278</v>
      </c>
      <c r="J966" s="4">
        <f t="shared" si="626"/>
        <v>0.67845287062310344</v>
      </c>
      <c r="K966" s="4">
        <f t="shared" si="626"/>
        <v>0.68036977082176042</v>
      </c>
    </row>
    <row r="967" spans="2:11" x14ac:dyDescent="0.25">
      <c r="B967" s="5" t="str">
        <f t="shared" si="619"/>
        <v>SPS4</v>
      </c>
      <c r="C967" s="5" t="str">
        <f t="shared" si="621"/>
        <v>CH</v>
      </c>
      <c r="D967" t="s">
        <v>998</v>
      </c>
      <c r="E967" t="s">
        <v>240</v>
      </c>
      <c r="F967" s="4">
        <f t="shared" ref="F967:K967" si="627">IFERROR(F946/F914,"-")</f>
        <v>0.89999999999999969</v>
      </c>
      <c r="G967" s="4">
        <f t="shared" si="627"/>
        <v>0.90000000000000024</v>
      </c>
      <c r="H967" s="4">
        <f t="shared" si="627"/>
        <v>0.66876334890511313</v>
      </c>
      <c r="I967" s="4">
        <f t="shared" si="627"/>
        <v>0.6730091797663621</v>
      </c>
      <c r="J967" s="4">
        <f t="shared" si="627"/>
        <v>0.67300917976636254</v>
      </c>
      <c r="K967" s="4">
        <f t="shared" si="627"/>
        <v>0.67300917976636188</v>
      </c>
    </row>
    <row r="968" spans="2:11" x14ac:dyDescent="0.25">
      <c r="B968" s="5" t="str">
        <f t="shared" si="619"/>
        <v>SPS4</v>
      </c>
      <c r="C968" s="5" t="str">
        <f t="shared" si="621"/>
        <v>CH</v>
      </c>
      <c r="D968" t="s">
        <v>999</v>
      </c>
      <c r="E968" t="s">
        <v>240</v>
      </c>
      <c r="F968" s="4">
        <f t="shared" ref="F968:K968" si="628">IFERROR(F948/F916,"-")</f>
        <v>1</v>
      </c>
      <c r="G968" s="4">
        <f t="shared" si="628"/>
        <v>1</v>
      </c>
      <c r="H968" s="4">
        <f t="shared" si="628"/>
        <v>1</v>
      </c>
      <c r="I968" s="4">
        <f t="shared" si="628"/>
        <v>1</v>
      </c>
      <c r="J968" s="4">
        <f t="shared" si="628"/>
        <v>1</v>
      </c>
      <c r="K968" s="4">
        <f t="shared" si="628"/>
        <v>1</v>
      </c>
    </row>
    <row r="969" spans="2:11" x14ac:dyDescent="0.25">
      <c r="B969" s="5" t="str">
        <f t="shared" si="619"/>
        <v>SPS4</v>
      </c>
      <c r="C969" s="5" t="str">
        <f t="shared" si="621"/>
        <v>CH</v>
      </c>
      <c r="D969" t="s">
        <v>1000</v>
      </c>
      <c r="E969" t="s">
        <v>240</v>
      </c>
      <c r="F969" s="4" t="str">
        <f t="shared" ref="F969:K969" si="629">IFERROR(F950/F920,"-")</f>
        <v>-</v>
      </c>
      <c r="G969" s="4" t="str">
        <f t="shared" si="629"/>
        <v>-</v>
      </c>
      <c r="H969" s="4">
        <f t="shared" si="629"/>
        <v>0</v>
      </c>
      <c r="I969" s="4">
        <f t="shared" si="629"/>
        <v>0</v>
      </c>
      <c r="J969" s="4">
        <f t="shared" si="629"/>
        <v>0</v>
      </c>
      <c r="K969" s="4">
        <f t="shared" si="629"/>
        <v>0</v>
      </c>
    </row>
    <row r="970" spans="2:11" x14ac:dyDescent="0.25">
      <c r="B970" s="9" t="str">
        <f t="shared" si="619"/>
        <v>SPS4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219.90790257280329</v>
      </c>
      <c r="G970" s="3">
        <f>[1]Residential!C$26</f>
        <v>216.76314631943785</v>
      </c>
      <c r="H970" s="3">
        <f>[1]Residential!D$26</f>
        <v>220.47895971377199</v>
      </c>
      <c r="I970" s="3">
        <f>[1]Residential!E$26</f>
        <v>211.48794843757443</v>
      </c>
      <c r="J970" s="3">
        <f>[1]Residential!F$26</f>
        <v>200.3194213805852</v>
      </c>
      <c r="K970" s="3">
        <f>[1]Residential!G$26</f>
        <v>191.63058907201412</v>
      </c>
    </row>
    <row r="971" spans="2:11" x14ac:dyDescent="0.25">
      <c r="B971" s="5" t="str">
        <f t="shared" si="619"/>
        <v>SPS4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69.470023098812177</v>
      </c>
      <c r="G971" s="1">
        <f>[1]Residential!C$15</f>
        <v>68.576991811346403</v>
      </c>
      <c r="H971" s="1">
        <f>[1]Residential!D$15</f>
        <v>69.390577885623912</v>
      </c>
      <c r="I971" s="1">
        <f>[1]Residential!E$15</f>
        <v>70.543992766226765</v>
      </c>
      <c r="J971" s="1">
        <f>[1]Residential!F$15</f>
        <v>72.748008058302432</v>
      </c>
      <c r="K971" s="1">
        <f>[1]Residential!G$15</f>
        <v>73.427379601305688</v>
      </c>
    </row>
    <row r="972" spans="2:11" x14ac:dyDescent="0.25">
      <c r="B972" s="5" t="str">
        <f t="shared" si="619"/>
        <v>SPS4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15.333205222454975</v>
      </c>
      <c r="G972" s="1">
        <f t="shared" ref="G972:K972" si="630">SUM(G973:G974)</f>
        <v>13.630503981368731</v>
      </c>
      <c r="H972" s="1">
        <f t="shared" si="630"/>
        <v>11.307680516483973</v>
      </c>
      <c r="I972" s="1">
        <f t="shared" si="630"/>
        <v>12.533148020566651</v>
      </c>
      <c r="J972" s="1">
        <f t="shared" si="630"/>
        <v>13.884485337978722</v>
      </c>
      <c r="K972" s="1">
        <f t="shared" si="630"/>
        <v>14.595873136299955</v>
      </c>
    </row>
    <row r="973" spans="2:11" x14ac:dyDescent="0.25">
      <c r="B973" s="5" t="str">
        <f t="shared" si="619"/>
        <v>SPS4</v>
      </c>
      <c r="C973" s="5" t="str">
        <f t="shared" ref="C973" si="631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9.3768493291093389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6.8466880668269976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0.90744831887121069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0.24404407693976696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4.4120909641901102E-2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4.7430143005472603E-2</v>
      </c>
    </row>
    <row r="974" spans="2:11" x14ac:dyDescent="0.25">
      <c r="B974" s="5" t="str">
        <f t="shared" si="619"/>
        <v>SPS4</v>
      </c>
      <c r="C974" s="5" t="str">
        <f t="shared" ref="C974:C978" si="632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5.956355893345636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6.7838159145417336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10.400232197612763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12.289103943626884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13.840364428336821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14.548442993294483</v>
      </c>
    </row>
    <row r="975" spans="2:11" x14ac:dyDescent="0.25">
      <c r="B975" s="5" t="str">
        <f t="shared" si="619"/>
        <v>SPS4</v>
      </c>
      <c r="C975" s="5" t="str">
        <f t="shared" si="632"/>
        <v>CH</v>
      </c>
      <c r="D975" t="s">
        <v>1003</v>
      </c>
      <c r="E975" t="s">
        <v>8</v>
      </c>
      <c r="F975" s="1">
        <f>SUM(F976:F977)</f>
        <v>9.5599116136112912</v>
      </c>
      <c r="G975" s="1">
        <f t="shared" ref="G975:K975" si="633">SUM(G976:G977)</f>
        <v>10.085307468581288</v>
      </c>
      <c r="H975" s="1">
        <f t="shared" si="633"/>
        <v>8.5594780349722512</v>
      </c>
      <c r="I975" s="1">
        <f t="shared" si="633"/>
        <v>7.9939730355480583</v>
      </c>
      <c r="J975" s="1">
        <f t="shared" si="633"/>
        <v>8.3230325495085733</v>
      </c>
      <c r="K975" s="1">
        <f t="shared" si="633"/>
        <v>8.7780406709854404</v>
      </c>
    </row>
    <row r="976" spans="2:11" x14ac:dyDescent="0.25">
      <c r="B976" s="5" t="str">
        <f t="shared" si="619"/>
        <v>SPS4</v>
      </c>
      <c r="C976" s="5" t="str">
        <f t="shared" si="632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8.4110121610609667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8.7988747592779308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6.058010102783264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4.6222806971413952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3.7543189979016511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3.2831462101276663</v>
      </c>
    </row>
    <row r="977" spans="2:11" x14ac:dyDescent="0.25">
      <c r="B977" s="5" t="str">
        <f t="shared" si="619"/>
        <v>SPS4</v>
      </c>
      <c r="C977" s="5" t="str">
        <f t="shared" si="632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1.1488994525503238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1.2864327093033576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2.5014679321889877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3.371692338406663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4.5687135516069217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5.4948944608577746</v>
      </c>
    </row>
    <row r="978" spans="2:11" x14ac:dyDescent="0.25">
      <c r="B978" s="5" t="str">
        <f t="shared" si="619"/>
        <v>SPS4</v>
      </c>
      <c r="C978" s="5" t="str">
        <f t="shared" si="632"/>
        <v>CH</v>
      </c>
      <c r="D978" t="s">
        <v>1004</v>
      </c>
      <c r="E978" t="s">
        <v>8</v>
      </c>
      <c r="F978" s="1">
        <f>[1]Residential!B$3-([1]Residential!B$10-[1]Residential!B$244)</f>
        <v>44.576906262745908</v>
      </c>
      <c r="G978" s="1">
        <f>[1]Residential!C$3-([1]Residential!C$10-[1]Residential!C$244)</f>
        <v>44.861180361396379</v>
      </c>
      <c r="H978" s="1">
        <f>[1]Residential!D$3-([1]Residential!D$10-[1]Residential!D$244)</f>
        <v>49.523419334167684</v>
      </c>
      <c r="I978" s="1">
        <f>[1]Residential!E$3-([1]Residential!E$10-[1]Residential!E$244)</f>
        <v>50.016871710112056</v>
      </c>
      <c r="J978" s="1">
        <f>[1]Residential!F$3-([1]Residential!F$10-[1]Residential!F$244)</f>
        <v>50.54049017081514</v>
      </c>
      <c r="K978" s="1">
        <f>[1]Residential!G$3-([1]Residential!G$10-[1]Residential!G$244)</f>
        <v>50.053465794020298</v>
      </c>
    </row>
    <row r="979" spans="2:11" x14ac:dyDescent="0.25">
      <c r="B979" s="5" t="str">
        <f t="shared" si="619"/>
        <v>SPS4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60.231822344023726</v>
      </c>
      <c r="G979" s="1">
        <f>SUM([1]Residential!C$16:C$17)</f>
        <v>51.320001959502036</v>
      </c>
      <c r="H979" s="1">
        <f>SUM([1]Residential!D$16:D$17)</f>
        <v>50.152633376871073</v>
      </c>
      <c r="I979" s="1">
        <f>SUM([1]Residential!E$16:E$17)</f>
        <v>32.820422365859912</v>
      </c>
      <c r="J979" s="1">
        <f>SUM([1]Residential!F$16:F$17)</f>
        <v>17.424068925553239</v>
      </c>
      <c r="K979" s="1">
        <f>SUM([1]Residential!G$16:G$17)</f>
        <v>5.7301447184322285</v>
      </c>
    </row>
    <row r="980" spans="2:11" x14ac:dyDescent="0.25">
      <c r="B980" s="5" t="str">
        <f t="shared" si="619"/>
        <v>SPS4</v>
      </c>
      <c r="C980" s="5" t="str">
        <f t="shared" ref="C980:C991" si="634">C979</f>
        <v>CH</v>
      </c>
      <c r="D980" t="s">
        <v>1005</v>
      </c>
      <c r="E980" t="s">
        <v>8</v>
      </c>
      <c r="F980" s="1">
        <f>[1]Residential!B$16</f>
        <v>60.231822344023726</v>
      </c>
      <c r="G980" s="1">
        <f>[1]Residential!C$16</f>
        <v>51.320001959502036</v>
      </c>
      <c r="H980" s="1">
        <f>[1]Residential!D$16</f>
        <v>50.152547690983852</v>
      </c>
      <c r="I980" s="1">
        <f>[1]Residential!E$16</f>
        <v>32.820380327035743</v>
      </c>
      <c r="J980" s="1">
        <f>[1]Residential!F$16</f>
        <v>17.423984944671847</v>
      </c>
      <c r="K980" s="1">
        <f>[1]Residential!G$16</f>
        <v>5.7300834095161548</v>
      </c>
    </row>
    <row r="981" spans="2:11" x14ac:dyDescent="0.25">
      <c r="B981" s="5" t="str">
        <f t="shared" si="619"/>
        <v>SPS4</v>
      </c>
      <c r="C981" s="5" t="str">
        <f t="shared" si="634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8.5685887219406182E-5</v>
      </c>
      <c r="I981" s="1">
        <f>[1]Residential!E$17</f>
        <v>4.2038824170262127E-5</v>
      </c>
      <c r="J981" s="1">
        <f>[1]Residential!F$17</f>
        <v>8.3980881392367083E-5</v>
      </c>
      <c r="K981" s="1">
        <f>[1]Residential!G$17</f>
        <v>6.1308916073681338E-5</v>
      </c>
    </row>
    <row r="982" spans="2:11" x14ac:dyDescent="0.25">
      <c r="B982" s="5" t="str">
        <f t="shared" si="619"/>
        <v>SPS4</v>
      </c>
      <c r="C982" s="5" t="str">
        <f t="shared" si="634"/>
        <v>CH</v>
      </c>
      <c r="D982" t="s">
        <v>1007</v>
      </c>
      <c r="E982" t="s">
        <v>8</v>
      </c>
      <c r="F982" s="1">
        <f>SUM(F984,F986)</f>
        <v>50.371412723201033</v>
      </c>
      <c r="G982" s="1">
        <f t="shared" ref="G982:K982" si="635">SUM(G984,G986)</f>
        <v>43.565350312524799</v>
      </c>
      <c r="H982" s="1">
        <f t="shared" si="635"/>
        <v>40.921778296448267</v>
      </c>
      <c r="I982" s="1">
        <f t="shared" si="635"/>
        <v>26.918124405365703</v>
      </c>
      <c r="J982" s="1">
        <f t="shared" si="635"/>
        <v>14.16690093465451</v>
      </c>
      <c r="K982" s="1">
        <f t="shared" si="635"/>
        <v>4.2601795693337436</v>
      </c>
    </row>
    <row r="983" spans="2:11" x14ac:dyDescent="0.25">
      <c r="B983" s="5" t="str">
        <f t="shared" si="619"/>
        <v>SPS4</v>
      </c>
      <c r="C983" s="5" t="str">
        <f t="shared" si="634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50.371412723201033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43.565350312524799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40.921778296448267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26.918124405365703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14.16690093465451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4.2601795693337436</v>
      </c>
    </row>
    <row r="984" spans="2:11" x14ac:dyDescent="0.25">
      <c r="B984" s="5" t="str">
        <f t="shared" si="619"/>
        <v>SPS4</v>
      </c>
      <c r="C984" s="5" t="str">
        <f t="shared" si="634"/>
        <v>CH</v>
      </c>
      <c r="D984" t="s">
        <v>1008</v>
      </c>
      <c r="E984" t="s">
        <v>8</v>
      </c>
      <c r="F984" s="1">
        <f>F985</f>
        <v>50.371412723201033</v>
      </c>
      <c r="G984" s="1">
        <f t="shared" ref="G984:K984" si="636">G985</f>
        <v>43.565350312524799</v>
      </c>
      <c r="H984" s="1">
        <f t="shared" si="636"/>
        <v>40.921708381497766</v>
      </c>
      <c r="I984" s="1">
        <f t="shared" si="636"/>
        <v>26.918089926641262</v>
      </c>
      <c r="J984" s="1">
        <f t="shared" si="636"/>
        <v>14.166832652737572</v>
      </c>
      <c r="K984" s="1">
        <f t="shared" si="636"/>
        <v>4.2601339881129352</v>
      </c>
    </row>
    <row r="985" spans="2:11" x14ac:dyDescent="0.25">
      <c r="B985" s="5" t="str">
        <f t="shared" si="619"/>
        <v>SPS4</v>
      </c>
      <c r="C985" s="5" t="str">
        <f t="shared" si="634"/>
        <v>CH</v>
      </c>
      <c r="D985" t="s">
        <v>709</v>
      </c>
      <c r="E985" t="s">
        <v>8</v>
      </c>
      <c r="F985" s="1">
        <f>F983*IFERROR(F980/F979,0)</f>
        <v>50.371412723201033</v>
      </c>
      <c r="G985" s="1">
        <f t="shared" ref="G985:K985" si="637">G983*IFERROR(G980/G979,0)</f>
        <v>43.565350312524799</v>
      </c>
      <c r="H985" s="1">
        <f t="shared" si="637"/>
        <v>40.921708381497766</v>
      </c>
      <c r="I985" s="1">
        <f t="shared" si="637"/>
        <v>26.918089926641262</v>
      </c>
      <c r="J985" s="1">
        <f t="shared" si="637"/>
        <v>14.166832652737572</v>
      </c>
      <c r="K985" s="1">
        <f t="shared" si="637"/>
        <v>4.2601339881129352</v>
      </c>
    </row>
    <row r="986" spans="2:11" x14ac:dyDescent="0.25">
      <c r="B986" s="5" t="str">
        <f t="shared" si="619"/>
        <v>SPS4</v>
      </c>
      <c r="C986" s="5" t="str">
        <f t="shared" si="634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38">G987</f>
        <v>0</v>
      </c>
      <c r="H986" s="1">
        <f t="shared" si="638"/>
        <v>6.9914950501015483E-5</v>
      </c>
      <c r="I986" s="1">
        <f t="shared" si="638"/>
        <v>3.4478724440845099E-5</v>
      </c>
      <c r="J986" s="1">
        <f t="shared" si="638"/>
        <v>6.8281916938417453E-5</v>
      </c>
      <c r="K986" s="1">
        <f t="shared" si="638"/>
        <v>4.5581220808443845E-5</v>
      </c>
    </row>
    <row r="987" spans="2:11" x14ac:dyDescent="0.25">
      <c r="B987" s="5" t="str">
        <f t="shared" si="619"/>
        <v>SPS4</v>
      </c>
      <c r="C987" s="5" t="str">
        <f t="shared" si="634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39">G983-G985</f>
        <v>0</v>
      </c>
      <c r="H987" s="1">
        <f t="shared" si="639"/>
        <v>6.9914950501015483E-5</v>
      </c>
      <c r="I987" s="1">
        <f t="shared" si="639"/>
        <v>3.4478724440845099E-5</v>
      </c>
      <c r="J987" s="1">
        <f t="shared" si="639"/>
        <v>6.8281916938417453E-5</v>
      </c>
      <c r="K987" s="1">
        <f t="shared" si="639"/>
        <v>4.5581220808443845E-5</v>
      </c>
    </row>
    <row r="988" spans="2:11" x14ac:dyDescent="0.25">
      <c r="B988" s="5" t="str">
        <f t="shared" si="619"/>
        <v>SPS4</v>
      </c>
      <c r="C988" s="5" t="str">
        <f t="shared" si="634"/>
        <v>CH</v>
      </c>
      <c r="D988" t="s">
        <v>1010</v>
      </c>
      <c r="E988" t="s">
        <v>8</v>
      </c>
      <c r="F988" s="1">
        <f>F989</f>
        <v>9.8604096208226988</v>
      </c>
      <c r="G988" s="1">
        <f t="shared" ref="G988:K988" si="640">G989</f>
        <v>7.7546516469772371</v>
      </c>
      <c r="H988" s="1">
        <f t="shared" si="640"/>
        <v>9.2308550804227885</v>
      </c>
      <c r="I988" s="1">
        <f t="shared" si="640"/>
        <v>5.9022979604942094</v>
      </c>
      <c r="J988" s="1">
        <f t="shared" si="640"/>
        <v>3.2571679908987332</v>
      </c>
      <c r="K988" s="1">
        <f t="shared" si="640"/>
        <v>1.4699651490984842</v>
      </c>
    </row>
    <row r="989" spans="2:11" x14ac:dyDescent="0.25">
      <c r="B989" s="5" t="str">
        <f t="shared" si="619"/>
        <v>SPS4</v>
      </c>
      <c r="C989" s="5" t="str">
        <f t="shared" si="634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9.8604096208226988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7.7546516469772371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9.2308550804227885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5.9022979604942094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3.2571679908987332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1.4699651490984842</v>
      </c>
    </row>
    <row r="990" spans="2:11" x14ac:dyDescent="0.25">
      <c r="B990" s="5" t="str">
        <f t="shared" si="619"/>
        <v>SPS4</v>
      </c>
      <c r="C990" s="5" t="str">
        <f t="shared" si="634"/>
        <v>CH</v>
      </c>
      <c r="D990" t="s">
        <v>712</v>
      </c>
      <c r="E990" t="s">
        <v>8</v>
      </c>
      <c r="F990" s="1">
        <f>IFERROR(F980/F979,0)*F989</f>
        <v>9.8604096208226988</v>
      </c>
      <c r="G990" s="1">
        <f t="shared" ref="G990:K990" si="641">IFERROR(G980/G979,0)*G989</f>
        <v>7.7546516469772371</v>
      </c>
      <c r="H990" s="1">
        <f t="shared" si="641"/>
        <v>9.2308393094860683</v>
      </c>
      <c r="I990" s="1">
        <f t="shared" si="641"/>
        <v>5.9022904003944827</v>
      </c>
      <c r="J990" s="1">
        <f t="shared" si="641"/>
        <v>3.2571522919342786</v>
      </c>
      <c r="K990" s="1">
        <f t="shared" si="641"/>
        <v>1.4699494214032189</v>
      </c>
    </row>
    <row r="991" spans="2:11" x14ac:dyDescent="0.25">
      <c r="B991" s="5" t="str">
        <f t="shared" si="619"/>
        <v>SPS4</v>
      </c>
      <c r="C991" s="5" t="str">
        <f t="shared" si="634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42">G989-G990</f>
        <v>0</v>
      </c>
      <c r="H991" s="1">
        <f t="shared" si="642"/>
        <v>1.5770936720116424E-5</v>
      </c>
      <c r="I991" s="1">
        <f t="shared" si="642"/>
        <v>7.5600997266889181E-6</v>
      </c>
      <c r="J991" s="1">
        <f t="shared" si="642"/>
        <v>1.56989644546357E-5</v>
      </c>
      <c r="K991" s="1">
        <f t="shared" si="642"/>
        <v>1.5727695265255193E-5</v>
      </c>
    </row>
    <row r="992" spans="2:11" x14ac:dyDescent="0.25">
      <c r="B992" s="5" t="str">
        <f t="shared" si="619"/>
        <v>SPS4</v>
      </c>
      <c r="C992" s="5" t="str">
        <f>C991</f>
        <v>CH</v>
      </c>
      <c r="D992" t="s">
        <v>677</v>
      </c>
      <c r="E992" t="s">
        <v>8</v>
      </c>
      <c r="F992" s="1">
        <f>SUM(F993:F994)</f>
        <v>47.001921407187083</v>
      </c>
      <c r="G992" s="1">
        <f t="shared" ref="G992:K992" si="643">SUM(G993:G994)</f>
        <v>48.268440169572841</v>
      </c>
      <c r="H992" s="1">
        <f t="shared" si="643"/>
        <v>48.544876364643216</v>
      </c>
      <c r="I992" s="1">
        <f t="shared" si="643"/>
        <v>43.915765099094813</v>
      </c>
      <c r="J992" s="1">
        <f t="shared" si="643"/>
        <v>32.810969360598968</v>
      </c>
      <c r="K992" s="1">
        <f t="shared" si="643"/>
        <v>23.752011531247799</v>
      </c>
    </row>
    <row r="993" spans="2:13" x14ac:dyDescent="0.25">
      <c r="B993" s="5" t="str">
        <f t="shared" si="619"/>
        <v>SPS4</v>
      </c>
      <c r="C993" s="5" t="str">
        <f t="shared" ref="C993:C1053" si="644">C992</f>
        <v>CH</v>
      </c>
      <c r="D993" t="s">
        <v>1011</v>
      </c>
      <c r="E993" t="s">
        <v>8</v>
      </c>
      <c r="F993" s="1">
        <f>[1]Residential!B$18</f>
        <v>46.69137882534725</v>
      </c>
      <c r="G993" s="1">
        <f>[1]Residential!C$18</f>
        <v>46.119115464710966</v>
      </c>
      <c r="H993" s="1">
        <f>[1]Residential!D$18</f>
        <v>47.056171757730361</v>
      </c>
      <c r="I993" s="1">
        <f>[1]Residential!E$18</f>
        <v>43.914777189421997</v>
      </c>
      <c r="J993" s="1">
        <f>[1]Residential!F$18</f>
        <v>32.810893944008647</v>
      </c>
      <c r="K993" s="1">
        <f>[1]Residential!G$18</f>
        <v>23.751984543627657</v>
      </c>
    </row>
    <row r="994" spans="2:13" x14ac:dyDescent="0.25">
      <c r="B994" s="5" t="str">
        <f t="shared" si="619"/>
        <v>SPS4</v>
      </c>
      <c r="C994" s="5" t="str">
        <f t="shared" si="644"/>
        <v>CH</v>
      </c>
      <c r="D994" t="s">
        <v>1012</v>
      </c>
      <c r="E994" t="s">
        <v>8</v>
      </c>
      <c r="F994" s="1">
        <f>[1]Residential!B$19</f>
        <v>0.31054258183983191</v>
      </c>
      <c r="G994" s="1">
        <f>[1]Residential!C$19</f>
        <v>2.1493247048618751</v>
      </c>
      <c r="H994" s="1">
        <f>[1]Residential!D$19</f>
        <v>1.4887046069128524</v>
      </c>
      <c r="I994" s="1">
        <f>[1]Residential!E$19</f>
        <v>9.8790967281212061E-4</v>
      </c>
      <c r="J994" s="1">
        <f>[1]Residential!F$19</f>
        <v>7.5416590322971574E-5</v>
      </c>
      <c r="K994" s="1">
        <f>[1]Residential!G$19</f>
        <v>2.6987620141609411E-5</v>
      </c>
    </row>
    <row r="995" spans="2:13" x14ac:dyDescent="0.25">
      <c r="B995" s="5" t="str">
        <f t="shared" si="619"/>
        <v>SPS4</v>
      </c>
      <c r="C995" s="5" t="str">
        <f t="shared" si="644"/>
        <v>CH</v>
      </c>
      <c r="D995" t="s">
        <v>1013</v>
      </c>
      <c r="E995" t="s">
        <v>8</v>
      </c>
      <c r="F995" s="1">
        <f>SUM(F996:F997)</f>
        <v>38.494652814284059</v>
      </c>
      <c r="G995" s="1">
        <f t="shared" ref="G995:K995" si="645">SUM(G996:G997)</f>
        <v>40.919338732418325</v>
      </c>
      <c r="H995" s="1">
        <f t="shared" si="645"/>
        <v>37.866744302045667</v>
      </c>
      <c r="I995" s="1">
        <f t="shared" si="645"/>
        <v>34.802498633942342</v>
      </c>
      <c r="J995" s="1">
        <f t="shared" si="645"/>
        <v>25.732442240639106</v>
      </c>
      <c r="K995" s="1">
        <f t="shared" si="645"/>
        <v>18.14404615253363</v>
      </c>
    </row>
    <row r="996" spans="2:13" x14ac:dyDescent="0.25">
      <c r="B996" s="5" t="str">
        <f t="shared" si="619"/>
        <v>SPS4</v>
      </c>
      <c r="C996" s="5" t="str">
        <f t="shared" si="644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38.494652814284059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40.919338732418325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35.443366090819609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29.819192838783234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18.019840111851476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8.308981897279196</v>
      </c>
    </row>
    <row r="997" spans="2:13" x14ac:dyDescent="0.25">
      <c r="B997" s="5" t="str">
        <f t="shared" si="619"/>
        <v>SPS4</v>
      </c>
      <c r="C997" s="5" t="str">
        <f t="shared" si="644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2.4233782112260585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4.983305795159108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7.7126021287876307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9.8350642552544336</v>
      </c>
    </row>
    <row r="998" spans="2:13" x14ac:dyDescent="0.25">
      <c r="B998" s="5" t="str">
        <f t="shared" si="619"/>
        <v>SPS4</v>
      </c>
      <c r="C998" s="5" t="str">
        <f t="shared" si="644"/>
        <v>CH</v>
      </c>
      <c r="D998" t="s">
        <v>1014</v>
      </c>
      <c r="E998" t="s">
        <v>8</v>
      </c>
      <c r="F998" s="1">
        <f>SUM(F999:F1000)</f>
        <v>38.240317916601605</v>
      </c>
      <c r="G998" s="1">
        <f t="shared" ref="G998:K998" si="646">SUM(G999:G1000)</f>
        <v>39.097259018733297</v>
      </c>
      <c r="H998" s="1">
        <f t="shared" si="646"/>
        <v>36.705501326210133</v>
      </c>
      <c r="I998" s="1">
        <f t="shared" si="646"/>
        <v>34.801715732290489</v>
      </c>
      <c r="J998" s="1">
        <f t="shared" si="646"/>
        <v>25.732383094167901</v>
      </c>
      <c r="K998" s="1">
        <f t="shared" si="646"/>
        <v>18.144025536821786</v>
      </c>
    </row>
    <row r="999" spans="2:13" x14ac:dyDescent="0.25">
      <c r="B999" s="5" t="str">
        <f t="shared" si="619"/>
        <v>SPS4</v>
      </c>
      <c r="C999" s="5" t="str">
        <f t="shared" si="644"/>
        <v>CH</v>
      </c>
      <c r="D999" t="s">
        <v>716</v>
      </c>
      <c r="E999" t="s">
        <v>8</v>
      </c>
      <c r="F999" s="1">
        <f>F996-F1002</f>
        <v>38.240317916601605</v>
      </c>
      <c r="G999" s="1">
        <f t="shared" ref="G999:K999" si="647">G996-G1002</f>
        <v>39.097259018733297</v>
      </c>
      <c r="H999" s="1">
        <f t="shared" si="647"/>
        <v>34.356439800441166</v>
      </c>
      <c r="I999" s="1">
        <f t="shared" si="647"/>
        <v>29.818522039379548</v>
      </c>
      <c r="J999" s="1">
        <f t="shared" si="647"/>
        <v>18.019798692931953</v>
      </c>
      <c r="K999" s="1">
        <f t="shared" si="647"/>
        <v>8.3089724564094443</v>
      </c>
    </row>
    <row r="1000" spans="2:13" x14ac:dyDescent="0.25">
      <c r="B1000" s="5" t="str">
        <f t="shared" si="619"/>
        <v>SPS4</v>
      </c>
      <c r="C1000" s="5" t="str">
        <f t="shared" si="644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48">G997-G1003</f>
        <v>0</v>
      </c>
      <c r="H1000" s="1">
        <f t="shared" si="648"/>
        <v>2.3490615257689695</v>
      </c>
      <c r="I1000" s="1">
        <f t="shared" si="648"/>
        <v>4.9831936929109402</v>
      </c>
      <c r="J1000" s="1">
        <f t="shared" si="648"/>
        <v>7.712584401235949</v>
      </c>
      <c r="K1000" s="1">
        <f t="shared" si="648"/>
        <v>9.8350530804123437</v>
      </c>
    </row>
    <row r="1001" spans="2:13" x14ac:dyDescent="0.25">
      <c r="B1001" s="5" t="str">
        <f t="shared" si="619"/>
        <v>SPS4</v>
      </c>
      <c r="C1001" s="5" t="str">
        <f t="shared" si="644"/>
        <v>CH</v>
      </c>
      <c r="D1001" t="s">
        <v>1015</v>
      </c>
      <c r="E1001" t="s">
        <v>8</v>
      </c>
      <c r="F1001" s="1">
        <f>SUM(F1002:F1003)</f>
        <v>0.2543348976824551</v>
      </c>
      <c r="G1001" s="1">
        <f t="shared" ref="G1001:K1001" si="649">SUM(G1002:G1003)</f>
        <v>1.8220797136850264</v>
      </c>
      <c r="H1001" s="1">
        <f t="shared" si="649"/>
        <v>1.1612429758355345</v>
      </c>
      <c r="I1001" s="1">
        <f t="shared" si="649"/>
        <v>7.8290165185374233E-4</v>
      </c>
      <c r="J1001" s="1">
        <f t="shared" si="649"/>
        <v>5.9146471204299144E-5</v>
      </c>
      <c r="K1001" s="1">
        <f t="shared" si="649"/>
        <v>2.0615711842014379E-5</v>
      </c>
      <c r="L1001" s="1"/>
    </row>
    <row r="1002" spans="2:13" x14ac:dyDescent="0.25">
      <c r="B1002" s="5" t="str">
        <f t="shared" si="619"/>
        <v>SPS4</v>
      </c>
      <c r="C1002" s="5" t="str">
        <f t="shared" si="644"/>
        <v>CH</v>
      </c>
      <c r="D1002" t="s">
        <v>717</v>
      </c>
      <c r="E1002" t="s">
        <v>8</v>
      </c>
      <c r="F1002" s="1">
        <f>F996*IFERROR(F$994/F$992,0)</f>
        <v>0.2543348976824551</v>
      </c>
      <c r="G1002" s="1">
        <f t="shared" ref="G1002:K1002" si="650">G996*IFERROR(G994/G992,0)</f>
        <v>1.8220797136850264</v>
      </c>
      <c r="H1002" s="1">
        <f t="shared" si="650"/>
        <v>1.0869262903784456</v>
      </c>
      <c r="I1002" s="1">
        <f t="shared" si="650"/>
        <v>6.7079940368592315E-4</v>
      </c>
      <c r="J1002" s="1">
        <f t="shared" si="650"/>
        <v>4.14189195224723E-5</v>
      </c>
      <c r="K1002" s="1">
        <f t="shared" si="650"/>
        <v>9.4408697516954977E-6</v>
      </c>
    </row>
    <row r="1003" spans="2:13" x14ac:dyDescent="0.25">
      <c r="B1003" s="5" t="str">
        <f t="shared" si="619"/>
        <v>SPS4</v>
      </c>
      <c r="C1003" s="5" t="str">
        <f t="shared" si="644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51">G997*IFERROR(G$994/G$992,0)</f>
        <v>0</v>
      </c>
      <c r="H1003" s="1">
        <f t="shared" si="651"/>
        <v>7.431668545708893E-2</v>
      </c>
      <c r="I1003" s="1">
        <f t="shared" si="651"/>
        <v>1.1210224816781919E-4</v>
      </c>
      <c r="J1003" s="1">
        <f t="shared" si="651"/>
        <v>1.7727551681826844E-5</v>
      </c>
      <c r="K1003" s="1">
        <f t="shared" si="651"/>
        <v>1.1174842090318881E-5</v>
      </c>
    </row>
    <row r="1004" spans="2:13" x14ac:dyDescent="0.25">
      <c r="B1004" s="5" t="str">
        <f t="shared" si="619"/>
        <v>SPS4</v>
      </c>
      <c r="C1004" s="5" t="str">
        <f t="shared" si="644"/>
        <v>CH</v>
      </c>
      <c r="D1004" t="s">
        <v>1016</v>
      </c>
      <c r="E1004" t="s">
        <v>8</v>
      </c>
      <c r="F1004" s="1">
        <f>SUM(F1005:F1006)</f>
        <v>8.5072685929030243</v>
      </c>
      <c r="G1004" s="1">
        <f t="shared" ref="G1004:K1004" si="652">SUM(G1005:G1006)</f>
        <v>7.3491014371545162</v>
      </c>
      <c r="H1004" s="1">
        <f t="shared" si="652"/>
        <v>10.678132062597548</v>
      </c>
      <c r="I1004" s="1">
        <f t="shared" si="652"/>
        <v>9.1132664651524706</v>
      </c>
      <c r="J1004" s="1">
        <f t="shared" si="652"/>
        <v>7.0785271199598601</v>
      </c>
      <c r="K1004" s="1">
        <f t="shared" si="652"/>
        <v>5.6079653787141694</v>
      </c>
      <c r="L1004" s="1"/>
      <c r="M1004" s="19"/>
    </row>
    <row r="1005" spans="2:13" x14ac:dyDescent="0.25">
      <c r="B1005" s="5" t="str">
        <f t="shared" si="619"/>
        <v>SPS4</v>
      </c>
      <c r="C1005" s="5" t="str">
        <f t="shared" si="644"/>
        <v>CH</v>
      </c>
      <c r="D1005" t="s">
        <v>719</v>
      </c>
      <c r="E1005" t="s">
        <v>8</v>
      </c>
      <c r="F1005" s="1">
        <f>F992-F996-F997-F1006</f>
        <v>8.5072685929030243</v>
      </c>
      <c r="G1005" s="1">
        <f t="shared" ref="G1005:K1005" si="653">G992-G996-G997-G1006</f>
        <v>7.3491014371545162</v>
      </c>
      <c r="H1005" s="1">
        <f t="shared" si="653"/>
        <v>10.224249618731253</v>
      </c>
      <c r="I1005" s="1">
        <f t="shared" si="653"/>
        <v>8.0928254094557452</v>
      </c>
      <c r="J1005" s="1">
        <f t="shared" si="653"/>
        <v>5.3010098530509566</v>
      </c>
      <c r="K1005" s="1">
        <f t="shared" si="653"/>
        <v>3.2159747916190171</v>
      </c>
    </row>
    <row r="1006" spans="2:13" x14ac:dyDescent="0.25">
      <c r="B1006" s="5" t="str">
        <f t="shared" si="619"/>
        <v>SPS4</v>
      </c>
      <c r="C1006" s="5" t="str">
        <f t="shared" si="644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0.45388244386629417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1.0204410556967256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1.7775172669089039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2.3919905870951523</v>
      </c>
    </row>
    <row r="1007" spans="2:13" x14ac:dyDescent="0.25">
      <c r="B1007" s="5" t="str">
        <f t="shared" si="619"/>
        <v>SPS4</v>
      </c>
      <c r="C1007" s="5" t="str">
        <f t="shared" si="644"/>
        <v>CH</v>
      </c>
      <c r="D1007" t="s">
        <v>1017</v>
      </c>
      <c r="E1007" t="s">
        <v>8</v>
      </c>
      <c r="F1007" s="1">
        <f>SUM(F1008:F1009)</f>
        <v>8.4510609087456476</v>
      </c>
      <c r="G1007" s="1">
        <f t="shared" ref="G1007:K1007" si="654">SUM(G1008:G1009)</f>
        <v>7.0218564459776678</v>
      </c>
      <c r="H1007" s="1">
        <f t="shared" si="654"/>
        <v>10.35067043152023</v>
      </c>
      <c r="I1007" s="1">
        <f t="shared" si="654"/>
        <v>9.1130614571315114</v>
      </c>
      <c r="J1007" s="1">
        <f t="shared" si="654"/>
        <v>7.0785108498407414</v>
      </c>
      <c r="K1007" s="1">
        <f t="shared" si="654"/>
        <v>5.6079590068058698</v>
      </c>
    </row>
    <row r="1008" spans="2:13" x14ac:dyDescent="0.25">
      <c r="B1008" s="5" t="str">
        <f t="shared" si="619"/>
        <v>SPS4</v>
      </c>
      <c r="C1008" s="5" t="str">
        <f t="shared" si="644"/>
        <v>CH</v>
      </c>
      <c r="D1008" t="s">
        <v>718</v>
      </c>
      <c r="E1008" t="s">
        <v>8</v>
      </c>
      <c r="F1008" s="1">
        <f>F1005-F1011</f>
        <v>8.4510609087456476</v>
      </c>
      <c r="G1008" s="1">
        <f t="shared" ref="G1008:K1008" si="655">G1005-G1011</f>
        <v>7.0218564459776678</v>
      </c>
      <c r="H1008" s="1">
        <f t="shared" si="655"/>
        <v>9.9107070031254167</v>
      </c>
      <c r="I1008" s="1">
        <f t="shared" si="655"/>
        <v>8.0926433568264819</v>
      </c>
      <c r="J1008" s="1">
        <f t="shared" si="655"/>
        <v>5.3009976685865476</v>
      </c>
      <c r="K1008" s="1">
        <f t="shared" si="655"/>
        <v>3.2159711375492996</v>
      </c>
    </row>
    <row r="1009" spans="2:11" x14ac:dyDescent="0.25">
      <c r="B1009" s="5" t="str">
        <f t="shared" si="619"/>
        <v>SPS4</v>
      </c>
      <c r="C1009" s="5" t="str">
        <f t="shared" si="644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56">G1006-G1012</f>
        <v>0</v>
      </c>
      <c r="H1009" s="1">
        <f t="shared" si="656"/>
        <v>0.43996342839481284</v>
      </c>
      <c r="I1009" s="1">
        <f t="shared" si="656"/>
        <v>1.0204181003050301</v>
      </c>
      <c r="J1009" s="1">
        <f t="shared" si="656"/>
        <v>1.7775131812541938</v>
      </c>
      <c r="K1009" s="1">
        <f t="shared" si="656"/>
        <v>2.3919878692565701</v>
      </c>
    </row>
    <row r="1010" spans="2:11" x14ac:dyDescent="0.25">
      <c r="B1010" s="5" t="str">
        <f t="shared" si="619"/>
        <v>SPS4</v>
      </c>
      <c r="C1010" s="5" t="str">
        <f t="shared" si="644"/>
        <v>CH</v>
      </c>
      <c r="D1010" t="s">
        <v>1018</v>
      </c>
      <c r="E1010" t="s">
        <v>8</v>
      </c>
      <c r="F1010" s="1">
        <f t="shared" ref="F1010:K1010" si="657">SUM(F1011:F1012)</f>
        <v>5.62076841573768E-2</v>
      </c>
      <c r="G1010" s="1">
        <f t="shared" si="657"/>
        <v>0.32724499117684869</v>
      </c>
      <c r="H1010" s="1">
        <f t="shared" si="657"/>
        <v>0.32746163107731796</v>
      </c>
      <c r="I1010" s="1">
        <f t="shared" si="657"/>
        <v>2.0500802095837833E-4</v>
      </c>
      <c r="J1010" s="1">
        <f t="shared" si="657"/>
        <v>1.6270119118672434E-5</v>
      </c>
      <c r="K1010" s="1">
        <f t="shared" si="657"/>
        <v>6.3719082995950327E-6</v>
      </c>
    </row>
    <row r="1011" spans="2:11" x14ac:dyDescent="0.25">
      <c r="B1011" s="5" t="str">
        <f t="shared" si="619"/>
        <v>SPS4</v>
      </c>
      <c r="C1011" s="5" t="str">
        <f t="shared" si="644"/>
        <v>CH</v>
      </c>
      <c r="D1011" t="s">
        <v>738</v>
      </c>
      <c r="E1011" t="s">
        <v>8</v>
      </c>
      <c r="F1011" s="1">
        <f>F1005*IFERROR(F$994/F$992,0)</f>
        <v>5.62076841573768E-2</v>
      </c>
      <c r="G1011" s="1">
        <f t="shared" ref="G1011:K1011" si="658">G1005*IFERROR(G$994/G$992,0)</f>
        <v>0.32724499117684869</v>
      </c>
      <c r="H1011" s="1">
        <f t="shared" si="658"/>
        <v>0.31354261560583663</v>
      </c>
      <c r="I1011" s="1">
        <f t="shared" si="658"/>
        <v>1.8205262926287565E-4</v>
      </c>
      <c r="J1011" s="1">
        <f t="shared" si="658"/>
        <v>1.2184464408590752E-5</v>
      </c>
      <c r="K1011" s="1">
        <f t="shared" si="658"/>
        <v>3.6540697172963171E-6</v>
      </c>
    </row>
    <row r="1012" spans="2:11" x14ac:dyDescent="0.25">
      <c r="B1012" s="5" t="str">
        <f t="shared" ref="B1012:B1075" si="659">B1011</f>
        <v>SPS4</v>
      </c>
      <c r="C1012" s="5" t="str">
        <f t="shared" si="644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60">G1006*IFERROR(G$994/G$992,0)</f>
        <v>0</v>
      </c>
      <c r="H1012" s="1">
        <f t="shared" si="660"/>
        <v>1.3919015471481309E-2</v>
      </c>
      <c r="I1012" s="1">
        <f t="shared" si="660"/>
        <v>2.2955391695502672E-5</v>
      </c>
      <c r="J1012" s="1">
        <f t="shared" si="660"/>
        <v>4.0856547100816819E-6</v>
      </c>
      <c r="K1012" s="1">
        <f t="shared" si="660"/>
        <v>2.7178385822987151E-6</v>
      </c>
    </row>
    <row r="1013" spans="2:11" x14ac:dyDescent="0.25">
      <c r="B1013" s="5" t="str">
        <f t="shared" si="659"/>
        <v>SPS4</v>
      </c>
      <c r="C1013" s="5" t="str">
        <f t="shared" si="644"/>
        <v>CH</v>
      </c>
      <c r="D1013" t="s">
        <v>1019</v>
      </c>
      <c r="E1013" t="s">
        <v>8</v>
      </c>
      <c r="F1013" s="1">
        <f>[1]Residential!B$20</f>
        <v>0.10000025708710156</v>
      </c>
      <c r="G1013" s="1">
        <f>[1]Residential!C$20</f>
        <v>0.10000012559189816</v>
      </c>
      <c r="H1013" s="1">
        <f>[1]Residential!D$20</f>
        <v>2.6952857011657113E-2</v>
      </c>
      <c r="I1013" s="1">
        <f>[1]Residential!E$20</f>
        <v>6.0613919165707179E-3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59"/>
        <v>SPS4</v>
      </c>
      <c r="C1014" s="5" t="str">
        <f t="shared" si="644"/>
        <v>CH</v>
      </c>
      <c r="D1014" t="s">
        <v>1020</v>
      </c>
      <c r="E1014" t="s">
        <v>8</v>
      </c>
      <c r="F1014" s="1">
        <f>F1013</f>
        <v>0.10000025708710156</v>
      </c>
      <c r="G1014" s="1">
        <f t="shared" ref="G1014:G1015" si="661">G1013</f>
        <v>0.10000012559189816</v>
      </c>
      <c r="H1014" s="1">
        <f t="shared" ref="H1014:H1015" si="662">H1013</f>
        <v>2.6952857011657113E-2</v>
      </c>
      <c r="I1014" s="1">
        <f t="shared" ref="I1014:I1015" si="663">I1013</f>
        <v>6.0613919165707179E-3</v>
      </c>
      <c r="J1014" s="1">
        <f t="shared" ref="J1014:J1015" si="664">J1013</f>
        <v>0</v>
      </c>
      <c r="K1014" s="1">
        <f t="shared" ref="K1014:K1015" si="665">K1013</f>
        <v>0</v>
      </c>
    </row>
    <row r="1015" spans="2:11" x14ac:dyDescent="0.25">
      <c r="B1015" s="5" t="str">
        <f t="shared" si="659"/>
        <v>SPS4</v>
      </c>
      <c r="C1015" s="5" t="str">
        <f t="shared" si="644"/>
        <v>CH</v>
      </c>
      <c r="D1015" t="s">
        <v>764</v>
      </c>
      <c r="E1015" t="s">
        <v>8</v>
      </c>
      <c r="F1015" s="1">
        <f t="shared" ref="F1015" si="666">F1014</f>
        <v>0.10000025708710156</v>
      </c>
      <c r="G1015" s="1">
        <f t="shared" si="661"/>
        <v>0.10000012559189816</v>
      </c>
      <c r="H1015" s="1">
        <f t="shared" si="662"/>
        <v>2.6952857011657113E-2</v>
      </c>
      <c r="I1015" s="1">
        <f t="shared" si="663"/>
        <v>6.0613919165707179E-3</v>
      </c>
      <c r="J1015" s="1">
        <f t="shared" si="664"/>
        <v>0</v>
      </c>
      <c r="K1015" s="1">
        <f t="shared" si="665"/>
        <v>0</v>
      </c>
    </row>
    <row r="1016" spans="2:11" x14ac:dyDescent="0.25">
      <c r="B1016" s="5" t="str">
        <f t="shared" si="659"/>
        <v>SPS4</v>
      </c>
      <c r="C1016" s="5" t="str">
        <f t="shared" si="644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59"/>
        <v>SPS4</v>
      </c>
      <c r="C1017" s="5" t="str">
        <f t="shared" si="644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59"/>
        <v>SPS4</v>
      </c>
      <c r="C1018" s="5" t="str">
        <f t="shared" si="644"/>
        <v>CH</v>
      </c>
      <c r="D1018" t="s">
        <v>1022</v>
      </c>
      <c r="E1018" t="s">
        <v>8</v>
      </c>
      <c r="F1018" s="1">
        <f>F1019+F1021</f>
        <v>13.722989072185431</v>
      </c>
      <c r="G1018" s="1">
        <f t="shared" ref="G1018:K1018" si="667">G1019+G1021</f>
        <v>14.427093708404639</v>
      </c>
      <c r="H1018" s="1">
        <f t="shared" si="667"/>
        <v>17.127121205288134</v>
      </c>
      <c r="I1018" s="1">
        <f t="shared" si="667"/>
        <v>16.56694133248735</v>
      </c>
      <c r="J1018" s="1">
        <f t="shared" si="667"/>
        <v>14.903059040194643</v>
      </c>
      <c r="K1018" s="1">
        <f t="shared" si="667"/>
        <v>13.418645498104937</v>
      </c>
    </row>
    <row r="1019" spans="2:11" x14ac:dyDescent="0.25">
      <c r="B1019" s="5" t="str">
        <f t="shared" si="659"/>
        <v>SPS4</v>
      </c>
      <c r="C1019" s="5" t="str">
        <f t="shared" si="644"/>
        <v>CH</v>
      </c>
      <c r="D1019" t="s">
        <v>1023</v>
      </c>
      <c r="E1019" t="s">
        <v>8</v>
      </c>
      <c r="F1019" s="1">
        <f>F1020</f>
        <v>12.682047147284717</v>
      </c>
      <c r="G1019" s="1">
        <f t="shared" ref="G1019:K1019" si="668">G1020</f>
        <v>13.232612676305445</v>
      </c>
      <c r="H1019" s="1">
        <f t="shared" si="668"/>
        <v>14.418270088413758</v>
      </c>
      <c r="I1019" s="1">
        <f t="shared" si="668"/>
        <v>13.633371922652262</v>
      </c>
      <c r="J1019" s="1">
        <f t="shared" si="668"/>
        <v>11.617191569368241</v>
      </c>
      <c r="K1019" s="1">
        <f t="shared" si="668"/>
        <v>9.8382882519802557</v>
      </c>
    </row>
    <row r="1020" spans="2:11" x14ac:dyDescent="0.25">
      <c r="B1020" s="5" t="str">
        <f t="shared" si="659"/>
        <v>SPS4</v>
      </c>
      <c r="C1020" s="5" t="str">
        <f t="shared" si="644"/>
        <v>CH</v>
      </c>
      <c r="D1020" t="s">
        <v>766</v>
      </c>
      <c r="E1020" t="s">
        <v>8</v>
      </c>
      <c r="F1020" s="1">
        <f>[1]Residential!B$22-F1022-F1023</f>
        <v>12.682047147284717</v>
      </c>
      <c r="G1020" s="1">
        <f>[1]Residential!C$22-G1022-G1023</f>
        <v>13.232612676305445</v>
      </c>
      <c r="H1020" s="1">
        <f>[1]Residential!D$22-H1022-H1023</f>
        <v>14.418270088413758</v>
      </c>
      <c r="I1020" s="1">
        <f>[1]Residential!E$22-I1022-I1023</f>
        <v>13.633371922652262</v>
      </c>
      <c r="J1020" s="1">
        <f>[1]Residential!F$22-J1022-J1023</f>
        <v>11.617191569368241</v>
      </c>
      <c r="K1020" s="1">
        <f>[1]Residential!G$22-K1022-K1023</f>
        <v>9.8382882519802557</v>
      </c>
    </row>
    <row r="1021" spans="2:11" x14ac:dyDescent="0.25">
      <c r="B1021" s="5" t="str">
        <f t="shared" si="659"/>
        <v>SPS4</v>
      </c>
      <c r="C1021" s="5" t="str">
        <f t="shared" si="644"/>
        <v>CH</v>
      </c>
      <c r="D1021" t="s">
        <v>1024</v>
      </c>
      <c r="E1021" t="s">
        <v>8</v>
      </c>
      <c r="F1021" s="1">
        <f>F1022</f>
        <v>1.0409419249007152</v>
      </c>
      <c r="G1021" s="1">
        <f t="shared" ref="G1021" si="669">G1022</f>
        <v>1.1944810320991948</v>
      </c>
      <c r="H1021" s="1">
        <f t="shared" ref="H1021" si="670">H1022</f>
        <v>2.7088511168743774</v>
      </c>
      <c r="I1021" s="1">
        <f t="shared" ref="I1021" si="671">I1022</f>
        <v>2.9335694098350857</v>
      </c>
      <c r="J1021" s="1">
        <f t="shared" ref="J1021" si="672">J1022</f>
        <v>3.285867470826402</v>
      </c>
      <c r="K1021" s="1">
        <f t="shared" ref="K1021" si="673">K1022</f>
        <v>3.5803572461246809</v>
      </c>
    </row>
    <row r="1022" spans="2:11" x14ac:dyDescent="0.25">
      <c r="B1022" s="5" t="str">
        <f t="shared" si="659"/>
        <v>SPS4</v>
      </c>
      <c r="C1022" s="5" t="str">
        <f t="shared" si="644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1.0409419249007152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1.1944810320991948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2.7088511168743774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2.9335694098350857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3.285867470826402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3.5803572461246809</v>
      </c>
    </row>
    <row r="1023" spans="2:11" x14ac:dyDescent="0.25">
      <c r="B1023" s="5" t="str">
        <f t="shared" si="659"/>
        <v>SPS4</v>
      </c>
      <c r="C1023" s="5" t="str">
        <f t="shared" si="644"/>
        <v>CH</v>
      </c>
      <c r="D1023" t="s">
        <v>1025</v>
      </c>
      <c r="E1023" t="s">
        <v>8</v>
      </c>
      <c r="F1023" s="1">
        <f>F1024+F1026</f>
        <v>3.2682066639566441</v>
      </c>
      <c r="G1023" s="1">
        <f t="shared" ref="G1023:K1023" si="674">G1024+G1026</f>
        <v>3.8319824274544008</v>
      </c>
      <c r="H1023" s="1">
        <f t="shared" si="674"/>
        <v>0.67789074378385028</v>
      </c>
      <c r="I1023" s="1">
        <f t="shared" si="674"/>
        <v>1.1788712112394486</v>
      </c>
      <c r="J1023" s="1">
        <f t="shared" si="674"/>
        <v>1.9124852696462198</v>
      </c>
      <c r="K1023" s="1">
        <f t="shared" si="674"/>
        <v>2.4968814501184373</v>
      </c>
    </row>
    <row r="1024" spans="2:11" x14ac:dyDescent="0.25">
      <c r="B1024" s="5" t="str">
        <f t="shared" si="659"/>
        <v>SPS4</v>
      </c>
      <c r="C1024" s="5" t="str">
        <f t="shared" si="644"/>
        <v>CH</v>
      </c>
      <c r="D1024" t="s">
        <v>1026</v>
      </c>
      <c r="E1024" t="s">
        <v>8</v>
      </c>
      <c r="F1024" s="1">
        <f>F1025</f>
        <v>2.9965395021082619</v>
      </c>
      <c r="G1024" s="1">
        <f t="shared" ref="G1024:K1024" si="675">G1025</f>
        <v>3.5202443918457544</v>
      </c>
      <c r="H1024" s="1">
        <f t="shared" si="675"/>
        <v>0.49428143733815361</v>
      </c>
      <c r="I1024" s="1">
        <f t="shared" si="675"/>
        <v>0.8392157285306644</v>
      </c>
      <c r="J1024" s="1">
        <f t="shared" si="675"/>
        <v>1.2969575437163021</v>
      </c>
      <c r="K1024" s="1">
        <f t="shared" si="675"/>
        <v>1.6345438374134376</v>
      </c>
    </row>
    <row r="1025" spans="2:11" x14ac:dyDescent="0.25">
      <c r="B1025" s="5" t="str">
        <f t="shared" si="659"/>
        <v>SPS4</v>
      </c>
      <c r="C1025" s="5" t="str">
        <f t="shared" si="644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2.9965395021082619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3.5202443918457544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0.49428143733815361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0.8392157285306644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1.2969575437163021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1.6345438374134376</v>
      </c>
    </row>
    <row r="1026" spans="2:11" x14ac:dyDescent="0.25">
      <c r="B1026" s="5" t="str">
        <f t="shared" si="659"/>
        <v>SPS4</v>
      </c>
      <c r="C1026" s="5" t="str">
        <f t="shared" si="644"/>
        <v>CH</v>
      </c>
      <c r="D1026" t="s">
        <v>1027</v>
      </c>
      <c r="E1026" t="s">
        <v>8</v>
      </c>
      <c r="F1026" s="1">
        <f>F1027</f>
        <v>0.2716671618483823</v>
      </c>
      <c r="G1026" s="1">
        <f t="shared" ref="G1026:K1026" si="676">G1027</f>
        <v>0.31173803560864655</v>
      </c>
      <c r="H1026" s="1">
        <f t="shared" si="676"/>
        <v>0.18360930644569665</v>
      </c>
      <c r="I1026" s="1">
        <f t="shared" si="676"/>
        <v>0.33965548270878432</v>
      </c>
      <c r="J1026" s="1">
        <f t="shared" si="676"/>
        <v>0.61552772592991778</v>
      </c>
      <c r="K1026" s="1">
        <f t="shared" si="676"/>
        <v>0.86233761270499965</v>
      </c>
    </row>
    <row r="1027" spans="2:11" x14ac:dyDescent="0.25">
      <c r="B1027" s="5" t="str">
        <f t="shared" si="659"/>
        <v>SPS4</v>
      </c>
      <c r="C1027" s="5" t="str">
        <f t="shared" si="644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0.2716671618483823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0.31173803560864655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0.18360930644569665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0.33965548270878432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0.61552772592991778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0.86233761270499965</v>
      </c>
    </row>
    <row r="1028" spans="2:11" x14ac:dyDescent="0.25">
      <c r="B1028" s="5" t="str">
        <f t="shared" si="659"/>
        <v>SPS4</v>
      </c>
      <c r="C1028" s="5" t="str">
        <f t="shared" si="644"/>
        <v>CH</v>
      </c>
      <c r="D1028" t="s">
        <v>1028</v>
      </c>
      <c r="E1028" t="s">
        <v>8</v>
      </c>
      <c r="F1028" s="1">
        <f>[1]Residential!B$23</f>
        <v>2.5068260173831902</v>
      </c>
      <c r="G1028" s="1">
        <f>[1]Residential!C$23</f>
        <v>2.9280013764649935</v>
      </c>
      <c r="H1028" s="1">
        <f>[1]Residential!D$23</f>
        <v>0.94256020589936429</v>
      </c>
      <c r="I1028" s="1">
        <f>[1]Residential!E$23</f>
        <v>1.1143934140674019</v>
      </c>
      <c r="J1028" s="1">
        <f>[1]Residential!F$23</f>
        <v>1.3166352994227304</v>
      </c>
      <c r="K1028" s="1">
        <f>[1]Residential!G$23</f>
        <v>1.5102692258140173</v>
      </c>
    </row>
    <row r="1029" spans="2:11" x14ac:dyDescent="0.25">
      <c r="B1029" s="5" t="str">
        <f t="shared" si="659"/>
        <v>SPS4</v>
      </c>
      <c r="C1029" s="5" t="str">
        <f t="shared" si="644"/>
        <v>CH</v>
      </c>
      <c r="D1029" t="s">
        <v>1029</v>
      </c>
      <c r="E1029" t="s">
        <v>8</v>
      </c>
      <c r="F1029" s="1">
        <f>F1030</f>
        <v>0.78533799272333915</v>
      </c>
      <c r="G1029" s="1">
        <f t="shared" ref="G1029:K1029" si="677">G1030</f>
        <v>0.94127795085046362</v>
      </c>
      <c r="H1029" s="1">
        <f t="shared" si="677"/>
        <v>3.0920622638566653E-2</v>
      </c>
      <c r="I1029" s="1">
        <f t="shared" si="677"/>
        <v>3.5993771358575691E-2</v>
      </c>
      <c r="J1029" s="1">
        <f t="shared" si="677"/>
        <v>3.959819063463877E-2</v>
      </c>
      <c r="K1029" s="1">
        <f t="shared" si="677"/>
        <v>4.1315283980490232E-2</v>
      </c>
    </row>
    <row r="1030" spans="2:11" x14ac:dyDescent="0.25">
      <c r="B1030" s="5" t="str">
        <f t="shared" si="659"/>
        <v>SPS4</v>
      </c>
      <c r="C1030" s="5" t="str">
        <f t="shared" si="644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0.78533799272333915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0.94127795085046362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3.0920622638566653E-2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3.5993771358575691E-2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3.959819063463877E-2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4.1315283980490232E-2</v>
      </c>
    </row>
    <row r="1031" spans="2:11" x14ac:dyDescent="0.25">
      <c r="B1031" s="5" t="str">
        <f t="shared" si="659"/>
        <v>SPS4</v>
      </c>
      <c r="C1031" s="5" t="str">
        <f t="shared" si="644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678">G1028-G1029</f>
        <v>1.9867234256145299</v>
      </c>
      <c r="H1031" s="1">
        <f t="shared" si="678"/>
        <v>0.91163958326079764</v>
      </c>
      <c r="I1031" s="1">
        <f t="shared" si="678"/>
        <v>1.0783996427088263</v>
      </c>
      <c r="J1031" s="1">
        <f t="shared" si="678"/>
        <v>1.2770371087880916</v>
      </c>
      <c r="K1031" s="1">
        <f t="shared" si="678"/>
        <v>1.4689539418335271</v>
      </c>
    </row>
    <row r="1032" spans="2:11" x14ac:dyDescent="0.25">
      <c r="B1032" s="5" t="str">
        <f t="shared" si="659"/>
        <v>SPS4</v>
      </c>
      <c r="C1032" s="5" t="str">
        <f t="shared" si="644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679">G1031</f>
        <v>1.9867234256145299</v>
      </c>
      <c r="H1032" s="1">
        <f t="shared" si="679"/>
        <v>0.91163958326079764</v>
      </c>
      <c r="I1032" s="1">
        <f t="shared" si="679"/>
        <v>1.0783996427088263</v>
      </c>
      <c r="J1032" s="1">
        <f t="shared" si="679"/>
        <v>1.2770371087880916</v>
      </c>
      <c r="K1032" s="1">
        <f t="shared" si="679"/>
        <v>1.4689539418335271</v>
      </c>
    </row>
    <row r="1033" spans="2:11" x14ac:dyDescent="0.25">
      <c r="B1033" s="5" t="str">
        <f t="shared" si="659"/>
        <v>SPS4</v>
      </c>
      <c r="C1033" s="5" t="str">
        <f t="shared" si="644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2.8900759341390102E-2</v>
      </c>
      <c r="I1033" s="1">
        <f>[1]Residential!E$24</f>
        <v>3.1557705645982395E-4</v>
      </c>
      <c r="J1033" s="1">
        <f>[1]Residential!F$24</f>
        <v>2.711888294685153E-3</v>
      </c>
      <c r="K1033" s="1">
        <f>[1]Residential!G$24</f>
        <v>4.3816091467419035E-2</v>
      </c>
    </row>
    <row r="1034" spans="2:11" x14ac:dyDescent="0.25">
      <c r="B1034" s="5" t="str">
        <f t="shared" si="659"/>
        <v>SPS4</v>
      </c>
      <c r="C1034" s="5" t="str">
        <f t="shared" si="644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680">G1033-G1036-G1038</f>
        <v>0</v>
      </c>
      <c r="H1034" s="1">
        <f t="shared" si="680"/>
        <v>2.8900759341390102E-2</v>
      </c>
      <c r="I1034" s="1">
        <f t="shared" si="680"/>
        <v>3.1557705645982395E-4</v>
      </c>
      <c r="J1034" s="1">
        <f t="shared" si="680"/>
        <v>2.711888294685153E-3</v>
      </c>
      <c r="K1034" s="1">
        <f t="shared" si="680"/>
        <v>4.3816091467419035E-2</v>
      </c>
    </row>
    <row r="1035" spans="2:11" x14ac:dyDescent="0.25">
      <c r="B1035" s="5" t="str">
        <f t="shared" si="659"/>
        <v>SPS4</v>
      </c>
      <c r="C1035" s="5" t="str">
        <f t="shared" si="644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681">G1036+G1038</f>
        <v>0</v>
      </c>
      <c r="H1035" s="1">
        <f t="shared" si="681"/>
        <v>0</v>
      </c>
      <c r="I1035" s="1">
        <f t="shared" si="681"/>
        <v>0</v>
      </c>
      <c r="J1035" s="1">
        <f t="shared" si="681"/>
        <v>0</v>
      </c>
      <c r="K1035" s="1">
        <f t="shared" si="681"/>
        <v>0</v>
      </c>
    </row>
    <row r="1036" spans="2:11" x14ac:dyDescent="0.25">
      <c r="B1036" s="5" t="str">
        <f t="shared" si="659"/>
        <v>SPS4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682">G1037</f>
        <v>0</v>
      </c>
      <c r="H1036" s="1">
        <f t="shared" si="682"/>
        <v>0</v>
      </c>
      <c r="I1036" s="1">
        <f t="shared" si="682"/>
        <v>0</v>
      </c>
      <c r="J1036" s="1">
        <f t="shared" si="682"/>
        <v>0</v>
      </c>
      <c r="K1036" s="1">
        <f t="shared" si="682"/>
        <v>0</v>
      </c>
    </row>
    <row r="1037" spans="2:11" x14ac:dyDescent="0.25">
      <c r="B1037" s="5" t="str">
        <f t="shared" si="659"/>
        <v>SPS4</v>
      </c>
      <c r="C1037" s="5" t="str">
        <f t="shared" si="644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59"/>
        <v>SPS4</v>
      </c>
      <c r="C1038" s="5" t="str">
        <f t="shared" si="644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683">G1039</f>
        <v>0</v>
      </c>
      <c r="H1038" s="1">
        <f t="shared" si="683"/>
        <v>0</v>
      </c>
      <c r="I1038" s="1">
        <f t="shared" si="683"/>
        <v>0</v>
      </c>
      <c r="J1038" s="1">
        <f t="shared" si="683"/>
        <v>0</v>
      </c>
      <c r="K1038" s="1">
        <f t="shared" si="683"/>
        <v>0</v>
      </c>
    </row>
    <row r="1039" spans="2:11" x14ac:dyDescent="0.25">
      <c r="B1039" s="5" t="str">
        <f t="shared" si="659"/>
        <v>SPS4</v>
      </c>
      <c r="C1039" s="5" t="str">
        <f t="shared" si="644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59"/>
        <v>SPS4</v>
      </c>
      <c r="C1040" s="5" t="str">
        <f t="shared" si="644"/>
        <v>CH</v>
      </c>
      <c r="D1040" t="s">
        <v>1035</v>
      </c>
      <c r="E1040" t="s">
        <v>8</v>
      </c>
      <c r="F1040" s="1">
        <f>[1]Residential!B$21</f>
        <v>8.411133537563444</v>
      </c>
      <c r="G1040" s="1">
        <f>[1]Residential!C$21</f>
        <v>9.6754098683103589</v>
      </c>
      <c r="H1040" s="1">
        <f>[1]Residential!D$21</f>
        <v>8.3120267022645535</v>
      </c>
      <c r="I1040" s="1">
        <f>[1]Residential!E$21</f>
        <v>9.2745933930340563</v>
      </c>
      <c r="J1040" s="1">
        <f>[1]Residential!F$21</f>
        <v>9.6610773995320507</v>
      </c>
      <c r="K1040" s="1">
        <f>[1]Residential!G$21</f>
        <v>9.7011415231641749</v>
      </c>
    </row>
    <row r="1041" spans="2:13" x14ac:dyDescent="0.25">
      <c r="B1041" s="5" t="str">
        <f t="shared" si="659"/>
        <v>SPS4</v>
      </c>
      <c r="C1041" s="5" t="str">
        <f t="shared" si="644"/>
        <v>CH</v>
      </c>
      <c r="D1041" t="s">
        <v>1036</v>
      </c>
      <c r="E1041" t="s">
        <v>8</v>
      </c>
      <c r="F1041" s="1">
        <f>SUM(F1042:F1044)</f>
        <v>0.11687968031020085</v>
      </c>
      <c r="G1041" s="1">
        <f t="shared" ref="G1041:K1041" si="684">SUM(G1042:G1044)</f>
        <v>9.7971285425267861E-3</v>
      </c>
      <c r="H1041" s="1">
        <f t="shared" si="684"/>
        <v>1.5303837919057177E-2</v>
      </c>
      <c r="I1041" s="1">
        <f t="shared" si="684"/>
        <v>0.48422248523200351</v>
      </c>
      <c r="J1041" s="1">
        <f t="shared" si="684"/>
        <v>35.234205711292994</v>
      </c>
      <c r="K1041" s="1">
        <f t="shared" si="684"/>
        <v>42.387251953508645</v>
      </c>
    </row>
    <row r="1042" spans="2:13" x14ac:dyDescent="0.25">
      <c r="B1042" s="5" t="str">
        <f t="shared" si="659"/>
        <v>SPS4</v>
      </c>
      <c r="C1042" s="5" t="str">
        <f t="shared" si="644"/>
        <v>CH</v>
      </c>
      <c r="D1042" t="s">
        <v>749</v>
      </c>
      <c r="E1042" t="s">
        <v>8</v>
      </c>
      <c r="F1042" s="1">
        <f t="shared" ref="F1042:K1043" si="685">SUM(F242,F244)</f>
        <v>0.11667639340898595</v>
      </c>
      <c r="G1042" s="1">
        <f t="shared" si="685"/>
        <v>9.569066869272929E-3</v>
      </c>
      <c r="H1042" s="1">
        <f t="shared" si="685"/>
        <v>1.5187467800305913E-2</v>
      </c>
      <c r="I1042" s="1">
        <f t="shared" si="685"/>
        <v>0.47765335422986033</v>
      </c>
      <c r="J1042" s="1">
        <f t="shared" si="685"/>
        <v>35.220973611166038</v>
      </c>
      <c r="K1042" s="1">
        <f t="shared" si="685"/>
        <v>42.376100516942955</v>
      </c>
    </row>
    <row r="1043" spans="2:13" x14ac:dyDescent="0.25">
      <c r="B1043" s="5" t="str">
        <f t="shared" si="659"/>
        <v>SPS4</v>
      </c>
      <c r="C1043" s="5" t="str">
        <f t="shared" si="644"/>
        <v>CH</v>
      </c>
      <c r="D1043" t="s">
        <v>750</v>
      </c>
      <c r="E1043" t="s">
        <v>8</v>
      </c>
      <c r="F1043" s="1">
        <f t="shared" si="685"/>
        <v>0</v>
      </c>
      <c r="G1043" s="1">
        <f t="shared" si="685"/>
        <v>0</v>
      </c>
      <c r="H1043" s="1">
        <f t="shared" si="685"/>
        <v>0</v>
      </c>
      <c r="I1043" s="1">
        <f t="shared" si="685"/>
        <v>0</v>
      </c>
      <c r="J1043" s="1">
        <f t="shared" si="685"/>
        <v>0</v>
      </c>
      <c r="K1043" s="1">
        <f t="shared" si="685"/>
        <v>0</v>
      </c>
    </row>
    <row r="1044" spans="2:13" x14ac:dyDescent="0.25">
      <c r="B1044" s="5" t="str">
        <f t="shared" si="659"/>
        <v>SPS4</v>
      </c>
      <c r="C1044" s="5" t="str">
        <f t="shared" si="644"/>
        <v>CH</v>
      </c>
      <c r="D1044" t="s">
        <v>751</v>
      </c>
      <c r="E1044" t="s">
        <v>8</v>
      </c>
      <c r="F1044" s="1">
        <f t="shared" ref="F1044:K1044" si="686">SUM(F283,F284)</f>
        <v>2.0328690121490468E-4</v>
      </c>
      <c r="G1044" s="1">
        <f t="shared" si="686"/>
        <v>2.2806167325385766E-4</v>
      </c>
      <c r="H1044" s="1">
        <f t="shared" si="686"/>
        <v>1.1637011875126308E-4</v>
      </c>
      <c r="I1044" s="1">
        <f t="shared" si="686"/>
        <v>6.5691310021431569E-3</v>
      </c>
      <c r="J1044" s="1">
        <f t="shared" si="686"/>
        <v>1.3232100126956513E-2</v>
      </c>
      <c r="K1044" s="1">
        <f t="shared" si="686"/>
        <v>1.115143656569329E-2</v>
      </c>
    </row>
    <row r="1045" spans="2:13" x14ac:dyDescent="0.25">
      <c r="B1045" s="5" t="str">
        <f t="shared" si="659"/>
        <v>SPS4</v>
      </c>
      <c r="C1045" s="5" t="str">
        <f t="shared" si="644"/>
        <v>CH</v>
      </c>
      <c r="D1045" t="s">
        <v>1037</v>
      </c>
      <c r="E1045" t="s">
        <v>8</v>
      </c>
      <c r="F1045" s="1">
        <f>F1040-F1041</f>
        <v>8.2942538572532438</v>
      </c>
      <c r="G1045" s="1">
        <f t="shared" ref="G1045:K1045" si="687">G1040-G1041</f>
        <v>9.6656127397678322</v>
      </c>
      <c r="H1045" s="1">
        <f t="shared" si="687"/>
        <v>8.2967228643454956</v>
      </c>
      <c r="I1045" s="1">
        <f t="shared" si="687"/>
        <v>8.7903709078020533</v>
      </c>
      <c r="J1045" s="1">
        <f t="shared" si="687"/>
        <v>-25.573128311760943</v>
      </c>
      <c r="K1045" s="1">
        <f t="shared" si="687"/>
        <v>-32.686110430344471</v>
      </c>
    </row>
    <row r="1046" spans="2:13" x14ac:dyDescent="0.25">
      <c r="B1046" s="5" t="str">
        <f t="shared" si="659"/>
        <v>SPS4</v>
      </c>
      <c r="C1046" s="5" t="str">
        <f t="shared" si="644"/>
        <v>CH</v>
      </c>
      <c r="D1046" t="s">
        <v>1038</v>
      </c>
      <c r="E1046" t="s">
        <v>8</v>
      </c>
      <c r="F1046" s="1">
        <f>[1]Residential!B$25</f>
        <v>15.194980174604506</v>
      </c>
      <c r="G1046" s="1">
        <f>[1]Residential!C$25</f>
        <v>17.635224872790275</v>
      </c>
      <c r="H1046" s="1">
        <f>[1]Residential!D$25</f>
        <v>25.275419613044889</v>
      </c>
      <c r="I1046" s="1">
        <f>[1]Residential!E$25</f>
        <v>36.066591886591681</v>
      </c>
      <c r="J1046" s="1">
        <f>[1]Residential!F$25</f>
        <v>49.540406139040172</v>
      </c>
      <c r="K1046" s="1">
        <f>[1]Residential!G$25</f>
        <v>61.550299432359395</v>
      </c>
    </row>
    <row r="1047" spans="2:13" x14ac:dyDescent="0.25">
      <c r="B1047" s="5" t="str">
        <f t="shared" si="659"/>
        <v>SPS4</v>
      </c>
      <c r="C1047" s="5" t="str">
        <f t="shared" si="644"/>
        <v>CH</v>
      </c>
      <c r="D1047" t="s">
        <v>1039</v>
      </c>
      <c r="E1047" t="s">
        <v>8</v>
      </c>
      <c r="F1047" s="1">
        <f>F1046-F1050</f>
        <v>13.10398317096292</v>
      </c>
      <c r="G1047" s="1">
        <f t="shared" ref="G1047:K1047" si="688">G1046-G1050</f>
        <v>15.286198745602338</v>
      </c>
      <c r="H1047" s="1">
        <f t="shared" si="688"/>
        <v>22.624650792241397</v>
      </c>
      <c r="I1047" s="1">
        <f t="shared" si="688"/>
        <v>31.381580077462488</v>
      </c>
      <c r="J1047" s="1">
        <f t="shared" si="688"/>
        <v>41.484185520898002</v>
      </c>
      <c r="K1047" s="1">
        <f t="shared" si="688"/>
        <v>49.957077558873138</v>
      </c>
      <c r="M1047" s="1"/>
    </row>
    <row r="1048" spans="2:13" x14ac:dyDescent="0.25">
      <c r="B1048" s="5" t="str">
        <f t="shared" si="659"/>
        <v>SPS4</v>
      </c>
      <c r="C1048" s="5" t="str">
        <f t="shared" si="644"/>
        <v>CH</v>
      </c>
      <c r="D1048" t="s">
        <v>752</v>
      </c>
      <c r="E1048" t="s">
        <v>8</v>
      </c>
      <c r="F1048" s="1">
        <f>F1047-F1049</f>
        <v>13.10398317096292</v>
      </c>
      <c r="G1048" s="1">
        <f t="shared" ref="G1048:K1048" si="689">G1047-G1049</f>
        <v>15.286198745602338</v>
      </c>
      <c r="H1048" s="1">
        <f t="shared" si="689"/>
        <v>20.543076913030617</v>
      </c>
      <c r="I1048" s="1">
        <f t="shared" si="689"/>
        <v>26.848509286418398</v>
      </c>
      <c r="J1048" s="1">
        <f t="shared" si="689"/>
        <v>34.060034208025336</v>
      </c>
      <c r="K1048" s="1">
        <f t="shared" si="689"/>
        <v>40.044595203882722</v>
      </c>
    </row>
    <row r="1049" spans="2:13" x14ac:dyDescent="0.25">
      <c r="B1049" s="5" t="str">
        <f t="shared" si="659"/>
        <v>SPS4</v>
      </c>
      <c r="C1049" s="5" t="str">
        <f t="shared" si="644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2.0815738792107776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4.5330707910440875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7.4241513128726693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9.91248235499042</v>
      </c>
      <c r="M1049" s="20"/>
    </row>
    <row r="1050" spans="2:13" x14ac:dyDescent="0.25">
      <c r="B1050" s="5" t="str">
        <f t="shared" si="659"/>
        <v>SPS4</v>
      </c>
      <c r="C1050" s="5" t="str">
        <f t="shared" si="644"/>
        <v>CH</v>
      </c>
      <c r="D1050" t="s">
        <v>1040</v>
      </c>
      <c r="E1050" t="s">
        <v>8</v>
      </c>
      <c r="F1050" s="1">
        <f>SUM(F1051:F1052)</f>
        <v>2.0909970036415872</v>
      </c>
      <c r="G1050" s="1">
        <f t="shared" ref="G1050:K1050" si="690">SUM(G1051:G1052)</f>
        <v>2.349026127187936</v>
      </c>
      <c r="H1050" s="1">
        <f t="shared" si="690"/>
        <v>2.6507688208034921</v>
      </c>
      <c r="I1050" s="1">
        <f t="shared" si="690"/>
        <v>4.6850118091291941</v>
      </c>
      <c r="J1050" s="1">
        <f t="shared" si="690"/>
        <v>8.0562206181421701</v>
      </c>
      <c r="K1050" s="1">
        <f t="shared" si="690"/>
        <v>11.593221873486254</v>
      </c>
    </row>
    <row r="1051" spans="2:13" x14ac:dyDescent="0.25">
      <c r="B1051" s="5" t="str">
        <f t="shared" si="659"/>
        <v>SPS4</v>
      </c>
      <c r="C1051" s="5" t="str">
        <f t="shared" si="644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2.0909970036415872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2.349026127187936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2.1955142746411327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3.4943503865080379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5.6571161318304801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7.9419760361113161</v>
      </c>
    </row>
    <row r="1052" spans="2:13" x14ac:dyDescent="0.25">
      <c r="B1052" s="5" t="str">
        <f t="shared" si="659"/>
        <v>SPS4</v>
      </c>
      <c r="C1052" s="5" t="str">
        <f t="shared" si="644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0.45525454616235939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1.190661422621156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2.3991044863116895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3.6512458373749372</v>
      </c>
    </row>
    <row r="1053" spans="2:13" x14ac:dyDescent="0.25">
      <c r="B1053" s="5" t="str">
        <f t="shared" si="659"/>
        <v>SPS4</v>
      </c>
      <c r="C1053" s="5" t="str">
        <f t="shared" si="644"/>
        <v>CH</v>
      </c>
      <c r="D1053" s="2" t="s">
        <v>756</v>
      </c>
      <c r="E1053" t="s">
        <v>8</v>
      </c>
      <c r="F1053" s="3">
        <f>[1]Residential!B$245</f>
        <v>156.00949197422986</v>
      </c>
      <c r="G1053" s="3">
        <f>[1]Residential!C$245</f>
        <v>162.33739387241707</v>
      </c>
      <c r="H1053" s="3">
        <f>[1]Residential!D$245</f>
        <v>147.84389478415511</v>
      </c>
      <c r="I1053" s="3">
        <f>[1]Residential!E$245</f>
        <v>149.31162545718396</v>
      </c>
      <c r="J1053" s="3">
        <f>[1]Residential!F$245</f>
        <v>151.44623190938279</v>
      </c>
      <c r="K1053" s="3">
        <f>[1]Residential!G$245</f>
        <v>154.52355673115468</v>
      </c>
    </row>
    <row r="1054" spans="2:13" x14ac:dyDescent="0.25">
      <c r="B1054" s="5" t="str">
        <f t="shared" si="659"/>
        <v>SPS4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129.03119089407087</v>
      </c>
      <c r="G1054" s="1">
        <f>[1]Residential!C$116</f>
        <v>136.40848197965954</v>
      </c>
      <c r="H1054" s="1">
        <f>[1]Residential!D$116</f>
        <v>126.18751116888079</v>
      </c>
      <c r="I1054" s="1">
        <f>[1]Residential!E$116</f>
        <v>126.72883231523321</v>
      </c>
      <c r="J1054" s="1">
        <f>[1]Residential!F$116</f>
        <v>125.86607231605079</v>
      </c>
      <c r="K1054" s="1">
        <f>[1]Residential!G$116</f>
        <v>125.47002126892274</v>
      </c>
    </row>
    <row r="1055" spans="2:13" x14ac:dyDescent="0.25">
      <c r="B1055" s="5" t="str">
        <f t="shared" si="659"/>
        <v>SPS4</v>
      </c>
      <c r="C1055" s="5" t="str">
        <f t="shared" ref="C1055:C1105" si="691">C1054</f>
        <v>CH</v>
      </c>
      <c r="D1055" t="s">
        <v>1116</v>
      </c>
      <c r="E1055" t="s">
        <v>8</v>
      </c>
      <c r="F1055" s="1">
        <f>SUM(F1056:F1057)</f>
        <v>27.968345926962421</v>
      </c>
      <c r="G1055" s="1">
        <f t="shared" ref="G1055:K1055" si="692">SUM(G1056:G1057)</f>
        <v>28.57436832362972</v>
      </c>
      <c r="H1055" s="1">
        <f t="shared" si="692"/>
        <v>31.776307688957761</v>
      </c>
      <c r="I1055" s="1">
        <f t="shared" si="692"/>
        <v>39.362977657554751</v>
      </c>
      <c r="J1055" s="1">
        <f t="shared" si="692"/>
        <v>47.942236147386105</v>
      </c>
      <c r="K1055" s="1">
        <f t="shared" si="692"/>
        <v>54.638076368968576</v>
      </c>
    </row>
    <row r="1056" spans="2:13" x14ac:dyDescent="0.25">
      <c r="B1056" s="5" t="str">
        <f t="shared" si="659"/>
        <v>SPS4</v>
      </c>
      <c r="C1056" s="5" t="str">
        <f t="shared" si="691"/>
        <v>CH</v>
      </c>
      <c r="D1056" t="s">
        <v>1117</v>
      </c>
      <c r="E1056" t="s">
        <v>8</v>
      </c>
      <c r="F1056" s="1">
        <f>[1]Residential!B$102</f>
        <v>8.9080068626538669</v>
      </c>
      <c r="G1056" s="1">
        <f>[1]Residential!C$102</f>
        <v>6.5043536634856505</v>
      </c>
      <c r="H1056" s="1">
        <f>[1]Residential!D$102</f>
        <v>0.83299857831438462</v>
      </c>
      <c r="I1056" s="1">
        <f>[1]Residential!E$102</f>
        <v>0.22536442750947072</v>
      </c>
      <c r="J1056" s="1">
        <f>[1]Residential!F$102</f>
        <v>4.1837511023953063E-2</v>
      </c>
      <c r="K1056" s="1">
        <f>[1]Residential!G$102</f>
        <v>4.5038171791362366E-2</v>
      </c>
    </row>
    <row r="1057" spans="2:11" x14ac:dyDescent="0.25">
      <c r="B1057" s="5" t="str">
        <f t="shared" si="659"/>
        <v>SPS4</v>
      </c>
      <c r="C1057" s="5" t="str">
        <f t="shared" si="691"/>
        <v>CH</v>
      </c>
      <c r="D1057" t="s">
        <v>1118</v>
      </c>
      <c r="E1057" t="s">
        <v>8</v>
      </c>
      <c r="F1057" s="1">
        <f>[1]Residential!B$104</f>
        <v>19.060339064308554</v>
      </c>
      <c r="G1057" s="1">
        <f>[1]Residential!C$104</f>
        <v>22.070014660144071</v>
      </c>
      <c r="H1057" s="1">
        <f>[1]Residential!D$104</f>
        <v>30.943309110643376</v>
      </c>
      <c r="I1057" s="1">
        <f>[1]Residential!E$104</f>
        <v>39.137613230045282</v>
      </c>
      <c r="J1057" s="1">
        <f>[1]Residential!F$104</f>
        <v>47.900398636362148</v>
      </c>
      <c r="K1057" s="1">
        <f>[1]Residential!G$104</f>
        <v>54.593038197177215</v>
      </c>
    </row>
    <row r="1058" spans="2:11" x14ac:dyDescent="0.25">
      <c r="B1058" s="5" t="str">
        <f t="shared" si="659"/>
        <v>SPS4</v>
      </c>
      <c r="C1058" s="5" t="str">
        <f t="shared" si="691"/>
        <v>CH</v>
      </c>
      <c r="D1058" t="s">
        <v>1047</v>
      </c>
      <c r="E1058" t="s">
        <v>8</v>
      </c>
      <c r="F1058" s="1">
        <f>F1059</f>
        <v>45.124390564534295</v>
      </c>
      <c r="G1058" s="1">
        <f t="shared" ref="G1058:K1058" si="693">G1059</f>
        <v>39.027292988303508</v>
      </c>
      <c r="H1058" s="1">
        <f t="shared" si="693"/>
        <v>34.998489379685168</v>
      </c>
      <c r="I1058" s="1">
        <f t="shared" si="693"/>
        <v>23.435513369623926</v>
      </c>
      <c r="J1058" s="1">
        <f t="shared" si="693"/>
        <v>12.527706719169727</v>
      </c>
      <c r="K1058" s="1">
        <f t="shared" si="693"/>
        <v>3.7769794269386558</v>
      </c>
    </row>
    <row r="1059" spans="2:11" x14ac:dyDescent="0.25">
      <c r="B1059" s="5" t="str">
        <f t="shared" si="659"/>
        <v>SPS4</v>
      </c>
      <c r="C1059" s="5" t="str">
        <f t="shared" si="691"/>
        <v>CH</v>
      </c>
      <c r="D1059" t="s">
        <v>1048</v>
      </c>
      <c r="E1059" t="s">
        <v>8</v>
      </c>
      <c r="F1059" s="1">
        <f>[1]Residential!B$105</f>
        <v>45.124390564534295</v>
      </c>
      <c r="G1059" s="1">
        <f>[1]Residential!C$105</f>
        <v>39.027292988303508</v>
      </c>
      <c r="H1059" s="1">
        <f>[1]Residential!D$105</f>
        <v>34.998489379685168</v>
      </c>
      <c r="I1059" s="1">
        <f>[1]Residential!E$105</f>
        <v>23.435513369623926</v>
      </c>
      <c r="J1059" s="1">
        <f>[1]Residential!F$105</f>
        <v>12.527706719169727</v>
      </c>
      <c r="K1059" s="1">
        <f>[1]Residential!G$105</f>
        <v>3.7769794269386558</v>
      </c>
    </row>
    <row r="1060" spans="2:11" x14ac:dyDescent="0.25">
      <c r="B1060" s="5" t="str">
        <f t="shared" si="659"/>
        <v>SPS4</v>
      </c>
      <c r="C1060" s="5" t="str">
        <f t="shared" si="691"/>
        <v>CH</v>
      </c>
      <c r="D1060" t="s">
        <v>1049</v>
      </c>
      <c r="E1060" t="s">
        <v>8</v>
      </c>
      <c r="F1060" s="1">
        <f>SUM(F1061:F1062)</f>
        <v>36.569920173569869</v>
      </c>
      <c r="G1060" s="1">
        <f t="shared" ref="G1060:K1060" si="694">SUM(G1061:G1062)</f>
        <v>38.873371795797397</v>
      </c>
      <c r="H1060" s="1">
        <f t="shared" si="694"/>
        <v>37.649873892002731</v>
      </c>
      <c r="I1060" s="1">
        <f t="shared" si="694"/>
        <v>37.589823775272627</v>
      </c>
      <c r="J1060" s="1">
        <f t="shared" si="694"/>
        <v>32.194519392013767</v>
      </c>
      <c r="K1060" s="1">
        <f t="shared" si="694"/>
        <v>27.647660587035933</v>
      </c>
    </row>
    <row r="1061" spans="2:11" x14ac:dyDescent="0.25">
      <c r="B1061" s="5" t="str">
        <f t="shared" si="659"/>
        <v>SPS4</v>
      </c>
      <c r="C1061" s="5" t="str">
        <f t="shared" si="691"/>
        <v>CH</v>
      </c>
      <c r="D1061" t="s">
        <v>1050</v>
      </c>
      <c r="E1061" t="s">
        <v>8</v>
      </c>
      <c r="F1061" s="1">
        <f>[1]Residential!B$106</f>
        <v>36.569920173569869</v>
      </c>
      <c r="G1061" s="1">
        <f>[1]Residential!C$106</f>
        <v>38.873371795797397</v>
      </c>
      <c r="H1061" s="1">
        <f>[1]Residential!D$106</f>
        <v>33.144921801565893</v>
      </c>
      <c r="I1061" s="1">
        <f>[1]Residential!E$106</f>
        <v>28.073447189069434</v>
      </c>
      <c r="J1061" s="1">
        <f>[1]Residential!F$106</f>
        <v>17.057765950353467</v>
      </c>
      <c r="K1061" s="1">
        <f>[1]Residential!G$106</f>
        <v>7.9001139767910784</v>
      </c>
    </row>
    <row r="1062" spans="2:11" x14ac:dyDescent="0.25">
      <c r="B1062" s="5" t="str">
        <f t="shared" si="659"/>
        <v>SPS4</v>
      </c>
      <c r="C1062" s="5" t="str">
        <f t="shared" si="691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4.5049520904368361</v>
      </c>
      <c r="I1062" s="1">
        <f>[1]Residential!E$107</f>
        <v>9.5163765862031955</v>
      </c>
      <c r="J1062" s="1">
        <f>[1]Residential!F$107</f>
        <v>15.136753441660298</v>
      </c>
      <c r="K1062" s="1">
        <f>[1]Residential!G$107</f>
        <v>19.747546610244854</v>
      </c>
    </row>
    <row r="1063" spans="2:11" x14ac:dyDescent="0.25">
      <c r="B1063" s="5" t="str">
        <f t="shared" si="659"/>
        <v>SPS4</v>
      </c>
      <c r="C1063" s="5" t="str">
        <f t="shared" si="691"/>
        <v>CH</v>
      </c>
      <c r="D1063" t="s">
        <v>1052</v>
      </c>
      <c r="E1063" t="s">
        <v>8</v>
      </c>
      <c r="F1063" s="1">
        <f>F1064</f>
        <v>7.200018510271311E-2</v>
      </c>
      <c r="G1063" s="1">
        <f t="shared" ref="G1063:K1063" si="695">G1064</f>
        <v>7.2000090426166632E-2</v>
      </c>
      <c r="H1063" s="1">
        <f t="shared" si="695"/>
        <v>2.1543436791430167E-2</v>
      </c>
      <c r="I1063" s="1">
        <f t="shared" si="695"/>
        <v>4.8485748835640158E-3</v>
      </c>
      <c r="J1063" s="1">
        <f t="shared" si="695"/>
        <v>0</v>
      </c>
      <c r="K1063" s="1">
        <f t="shared" si="695"/>
        <v>0</v>
      </c>
    </row>
    <row r="1064" spans="2:11" x14ac:dyDescent="0.25">
      <c r="B1064" s="5" t="str">
        <f t="shared" si="659"/>
        <v>SPS4</v>
      </c>
      <c r="C1064" s="5" t="str">
        <f t="shared" si="691"/>
        <v>CH</v>
      </c>
      <c r="D1064" t="s">
        <v>1053</v>
      </c>
      <c r="E1064" t="s">
        <v>8</v>
      </c>
      <c r="F1064" s="1">
        <f>[1]Residential!B$108</f>
        <v>7.200018510271311E-2</v>
      </c>
      <c r="G1064" s="1">
        <f>[1]Residential!C$108</f>
        <v>7.2000090426166632E-2</v>
      </c>
      <c r="H1064" s="1">
        <f>[1]Residential!D$108</f>
        <v>2.1543436791430167E-2</v>
      </c>
      <c r="I1064" s="1">
        <f>[1]Residential!E$108</f>
        <v>4.8485748835640158E-3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659"/>
        <v>SPS4</v>
      </c>
      <c r="C1065" s="5" t="str">
        <f t="shared" si="691"/>
        <v>CH</v>
      </c>
      <c r="D1065" t="s">
        <v>1054</v>
      </c>
      <c r="E1065" t="s">
        <v>8</v>
      </c>
      <c r="F1065" s="1">
        <f>SUM([1]Residential!B$109:B$110)</f>
        <v>6.633677609854848</v>
      </c>
      <c r="G1065" s="1">
        <f>SUM([1]Residential!C$109:C$110)</f>
        <v>7.7020457186146425</v>
      </c>
      <c r="H1065" s="1">
        <f>SUM([1]Residential!D$109:D$110)</f>
        <v>5.8578214083117626</v>
      </c>
      <c r="I1065" s="1">
        <f>SUM([1]Residential!E$109:E$110)</f>
        <v>6.4739335609580531</v>
      </c>
      <c r="J1065" s="1">
        <f>SUM([1]Residential!F$109:F$110)</f>
        <v>6.6001508575950023</v>
      </c>
      <c r="K1065" s="1">
        <f>SUM([1]Residential!G$109:G$110)</f>
        <v>6.5231135899542565</v>
      </c>
    </row>
    <row r="1066" spans="2:11" x14ac:dyDescent="0.25">
      <c r="B1066" s="5" t="str">
        <f t="shared" si="659"/>
        <v>SPS4</v>
      </c>
      <c r="C1066" s="5" t="str">
        <f t="shared" si="691"/>
        <v>CH</v>
      </c>
      <c r="D1066" t="s">
        <v>1055</v>
      </c>
      <c r="E1066" t="s">
        <v>8</v>
      </c>
      <c r="F1066" s="1">
        <f>[1]Residential!B$109</f>
        <v>7.8070009491218881E-2</v>
      </c>
      <c r="G1066" s="1">
        <f>[1]Residential!C$109</f>
        <v>8.9782385033651494E-3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25">
      <c r="B1067" s="5" t="str">
        <f t="shared" si="659"/>
        <v>SPS4</v>
      </c>
      <c r="C1067" s="5" t="str">
        <f t="shared" si="691"/>
        <v>CH</v>
      </c>
      <c r="D1067" t="s">
        <v>1056</v>
      </c>
      <c r="E1067" t="s">
        <v>8</v>
      </c>
      <c r="F1067" s="1">
        <f>IFERROR(F$1066/F$1041,0)*F1042</f>
        <v>7.793422361068629E-2</v>
      </c>
      <c r="G1067" s="1">
        <f t="shared" ref="G1067:K1067" si="696">IFERROR(G$1066/G$1041,0)*G1042</f>
        <v>8.7692392963973527E-3</v>
      </c>
      <c r="H1067" s="1">
        <f t="shared" si="696"/>
        <v>0</v>
      </c>
      <c r="I1067" s="1">
        <f t="shared" si="696"/>
        <v>0</v>
      </c>
      <c r="J1067" s="1">
        <f t="shared" si="696"/>
        <v>0</v>
      </c>
      <c r="K1067" s="1">
        <f t="shared" si="696"/>
        <v>0</v>
      </c>
    </row>
    <row r="1068" spans="2:11" x14ac:dyDescent="0.25">
      <c r="B1068" s="5" t="str">
        <f t="shared" si="659"/>
        <v>SPS4</v>
      </c>
      <c r="C1068" s="5" t="str">
        <f t="shared" si="691"/>
        <v>CH</v>
      </c>
      <c r="D1068" t="s">
        <v>1057</v>
      </c>
      <c r="E1068" t="s">
        <v>8</v>
      </c>
      <c r="F1068" s="1">
        <f t="shared" ref="F1068:K1068" si="697">IFERROR(F$1066/F$1041,0)*F1043</f>
        <v>0</v>
      </c>
      <c r="G1068" s="1">
        <f t="shared" si="697"/>
        <v>0</v>
      </c>
      <c r="H1068" s="1">
        <f t="shared" si="697"/>
        <v>0</v>
      </c>
      <c r="I1068" s="1">
        <f t="shared" si="697"/>
        <v>0</v>
      </c>
      <c r="J1068" s="1">
        <f t="shared" si="697"/>
        <v>0</v>
      </c>
      <c r="K1068" s="1">
        <f t="shared" si="697"/>
        <v>0</v>
      </c>
    </row>
    <row r="1069" spans="2:11" x14ac:dyDescent="0.25">
      <c r="B1069" s="5" t="str">
        <f t="shared" si="659"/>
        <v>SPS4</v>
      </c>
      <c r="C1069" s="5" t="str">
        <f t="shared" si="691"/>
        <v>CH</v>
      </c>
      <c r="D1069" t="s">
        <v>1058</v>
      </c>
      <c r="E1069" t="s">
        <v>8</v>
      </c>
      <c r="F1069" s="1">
        <f t="shared" ref="F1069:K1069" si="698">IFERROR(F$1066/F$1041,0)*F1044</f>
        <v>1.3578588053258863E-4</v>
      </c>
      <c r="G1069" s="1">
        <f t="shared" si="698"/>
        <v>2.0899920696779695E-4</v>
      </c>
      <c r="H1069" s="1">
        <f t="shared" si="698"/>
        <v>0</v>
      </c>
      <c r="I1069" s="1">
        <f t="shared" si="698"/>
        <v>0</v>
      </c>
      <c r="J1069" s="1">
        <f t="shared" si="698"/>
        <v>0</v>
      </c>
      <c r="K1069" s="1">
        <f t="shared" si="698"/>
        <v>0</v>
      </c>
    </row>
    <row r="1070" spans="2:11" x14ac:dyDescent="0.25">
      <c r="B1070" s="5" t="str">
        <f t="shared" si="659"/>
        <v>SPS4</v>
      </c>
      <c r="C1070" s="5" t="str">
        <f t="shared" si="691"/>
        <v>CH</v>
      </c>
      <c r="D1070" t="s">
        <v>1059</v>
      </c>
      <c r="E1070" t="s">
        <v>8</v>
      </c>
      <c r="F1070" s="1">
        <f>F1065-F1066</f>
        <v>6.5556076003636292</v>
      </c>
      <c r="G1070" s="1">
        <f t="shared" ref="G1070:K1070" si="699">G1065-G1066</f>
        <v>7.6930674801112771</v>
      </c>
      <c r="H1070" s="1">
        <f t="shared" si="699"/>
        <v>5.8578214083117626</v>
      </c>
      <c r="I1070" s="1">
        <f t="shared" si="699"/>
        <v>6.4739335609580531</v>
      </c>
      <c r="J1070" s="1">
        <f t="shared" si="699"/>
        <v>6.6001508575950023</v>
      </c>
      <c r="K1070" s="1">
        <f t="shared" si="699"/>
        <v>6.5231135899542565</v>
      </c>
    </row>
    <row r="1071" spans="2:11" x14ac:dyDescent="0.25">
      <c r="B1071" s="5" t="str">
        <f t="shared" si="659"/>
        <v>SPS4</v>
      </c>
      <c r="C1071" s="5" t="str">
        <f t="shared" si="691"/>
        <v>CH</v>
      </c>
      <c r="D1071" t="s">
        <v>1060</v>
      </c>
      <c r="E1071" t="s">
        <v>8</v>
      </c>
      <c r="F1071" s="1">
        <f>F1072</f>
        <v>9.1310739460449923</v>
      </c>
      <c r="G1071" s="1">
        <f t="shared" ref="G1071:K1071" si="700">G1072</f>
        <v>9.5274811269399216</v>
      </c>
      <c r="H1071" s="1">
        <f t="shared" si="700"/>
        <v>10.370180990089681</v>
      </c>
      <c r="I1071" s="1">
        <f t="shared" si="700"/>
        <v>9.9612499916094563</v>
      </c>
      <c r="J1071" s="1">
        <f t="shared" si="700"/>
        <v>8.6034120550450215</v>
      </c>
      <c r="K1071" s="1">
        <f t="shared" si="700"/>
        <v>7.3727929322528132</v>
      </c>
    </row>
    <row r="1072" spans="2:11" x14ac:dyDescent="0.25">
      <c r="B1072" s="5" t="str">
        <f t="shared" si="659"/>
        <v>SPS4</v>
      </c>
      <c r="C1072" s="5" t="str">
        <f t="shared" si="691"/>
        <v>CH</v>
      </c>
      <c r="D1072" t="s">
        <v>1061</v>
      </c>
      <c r="E1072" t="s">
        <v>8</v>
      </c>
      <c r="F1072" s="1">
        <f>[1]Residential!B$111</f>
        <v>9.1310739460449923</v>
      </c>
      <c r="G1072" s="1">
        <f>[1]Residential!C$111</f>
        <v>9.5274811269399216</v>
      </c>
      <c r="H1072" s="1">
        <f>[1]Residential!D$111</f>
        <v>10.370180990089681</v>
      </c>
      <c r="I1072" s="1">
        <f>[1]Residential!E$111</f>
        <v>9.9612499916094563</v>
      </c>
      <c r="J1072" s="1">
        <f>[1]Residential!F$111</f>
        <v>8.6034120550450215</v>
      </c>
      <c r="K1072" s="1">
        <f>[1]Residential!G$111</f>
        <v>7.3727929322528132</v>
      </c>
    </row>
    <row r="1073" spans="2:11" x14ac:dyDescent="0.25">
      <c r="B1073" s="5" t="str">
        <f t="shared" si="659"/>
        <v>SPS4</v>
      </c>
      <c r="C1073" s="5" t="str">
        <f t="shared" si="691"/>
        <v>CH</v>
      </c>
      <c r="D1073" t="s">
        <v>1062</v>
      </c>
      <c r="E1073" t="s">
        <v>8</v>
      </c>
      <c r="F1073" s="1">
        <f>F1074</f>
        <v>2.6968855518974357</v>
      </c>
      <c r="G1073" s="1">
        <f t="shared" ref="G1073:K1073" si="701">G1074</f>
        <v>3.1682199526611816</v>
      </c>
      <c r="H1073" s="1">
        <f t="shared" si="701"/>
        <v>0.36333127073509119</v>
      </c>
      <c r="I1073" s="1">
        <f t="shared" si="701"/>
        <v>0.6227557583812201</v>
      </c>
      <c r="J1073" s="1">
        <f t="shared" si="701"/>
        <v>0.96856796617143881</v>
      </c>
      <c r="K1073" s="1">
        <f t="shared" si="701"/>
        <v>1.2262472704378893</v>
      </c>
    </row>
    <row r="1074" spans="2:11" x14ac:dyDescent="0.25">
      <c r="B1074" s="5" t="str">
        <f t="shared" si="659"/>
        <v>SPS4</v>
      </c>
      <c r="C1074" s="5" t="str">
        <f t="shared" si="691"/>
        <v>CH</v>
      </c>
      <c r="D1074" t="s">
        <v>1063</v>
      </c>
      <c r="E1074" t="s">
        <v>8</v>
      </c>
      <c r="F1074" s="1">
        <f>[1]Residential!B$112</f>
        <v>2.6968855518974357</v>
      </c>
      <c r="G1074" s="1">
        <f>[1]Residential!C$112</f>
        <v>3.1682199526611816</v>
      </c>
      <c r="H1074" s="1">
        <f>[1]Residential!D$112</f>
        <v>0.36333127073509119</v>
      </c>
      <c r="I1074" s="1">
        <f>[1]Residential!E$112</f>
        <v>0.6227557583812201</v>
      </c>
      <c r="J1074" s="1">
        <f>[1]Residential!F$112</f>
        <v>0.96856796617143881</v>
      </c>
      <c r="K1074" s="1">
        <f>[1]Residential!G$112</f>
        <v>1.2262472704378893</v>
      </c>
    </row>
    <row r="1075" spans="2:11" x14ac:dyDescent="0.25">
      <c r="B1075" s="5" t="str">
        <f t="shared" si="659"/>
        <v>SPS4</v>
      </c>
      <c r="C1075" s="5" t="str">
        <f t="shared" si="691"/>
        <v>CH</v>
      </c>
      <c r="D1075" t="s">
        <v>1064</v>
      </c>
      <c r="E1075" t="s">
        <v>8</v>
      </c>
      <c r="F1075" s="1">
        <f>F1076</f>
        <v>0.78533799272333915</v>
      </c>
      <c r="G1075" s="1">
        <f t="shared" ref="G1075:K1075" si="702">G1076</f>
        <v>0.94127795085046362</v>
      </c>
      <c r="H1075" s="1">
        <f t="shared" si="702"/>
        <v>3.0920622638566653E-2</v>
      </c>
      <c r="I1075" s="1">
        <f t="shared" si="702"/>
        <v>3.5993771358575691E-2</v>
      </c>
      <c r="J1075" s="1">
        <f t="shared" si="702"/>
        <v>3.9598190634638777E-2</v>
      </c>
      <c r="K1075" s="1">
        <f t="shared" si="702"/>
        <v>4.1315283980490232E-2</v>
      </c>
    </row>
    <row r="1076" spans="2:11" x14ac:dyDescent="0.25">
      <c r="B1076" s="5" t="str">
        <f t="shared" ref="B1076:B1139" si="703">B1075</f>
        <v>SPS4</v>
      </c>
      <c r="C1076" s="5" t="str">
        <f t="shared" si="691"/>
        <v>CH</v>
      </c>
      <c r="D1076" t="s">
        <v>1065</v>
      </c>
      <c r="E1076" t="s">
        <v>8</v>
      </c>
      <c r="F1076" s="1">
        <f>[1]Residential!B$113</f>
        <v>0.78533799272333915</v>
      </c>
      <c r="G1076" s="1">
        <f>[1]Residential!C$113</f>
        <v>0.94127795085046362</v>
      </c>
      <c r="H1076" s="1">
        <f>[1]Residential!D$113</f>
        <v>3.0920622638566653E-2</v>
      </c>
      <c r="I1076" s="1">
        <f>[1]Residential!E$113</f>
        <v>3.5993771358575691E-2</v>
      </c>
      <c r="J1076" s="1">
        <f>[1]Residential!F$113</f>
        <v>3.9598190634638777E-2</v>
      </c>
      <c r="K1076" s="1">
        <f>[1]Residential!G$113</f>
        <v>4.1315283980490232E-2</v>
      </c>
    </row>
    <row r="1077" spans="2:11" x14ac:dyDescent="0.25">
      <c r="B1077" s="5" t="str">
        <f t="shared" si="703"/>
        <v>SPS4</v>
      </c>
      <c r="C1077" s="5" t="str">
        <f t="shared" si="691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04">G1078</f>
        <v>0</v>
      </c>
      <c r="H1077" s="1">
        <f t="shared" si="704"/>
        <v>0</v>
      </c>
      <c r="I1077" s="1">
        <f t="shared" si="704"/>
        <v>0</v>
      </c>
      <c r="J1077" s="1">
        <f t="shared" si="704"/>
        <v>0</v>
      </c>
      <c r="K1077" s="1">
        <f t="shared" si="704"/>
        <v>0</v>
      </c>
    </row>
    <row r="1078" spans="2:11" x14ac:dyDescent="0.25">
      <c r="B1078" s="5" t="str">
        <f t="shared" si="703"/>
        <v>SPS4</v>
      </c>
      <c r="C1078" s="5" t="str">
        <f t="shared" si="691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03"/>
        <v>SPS4</v>
      </c>
      <c r="C1079" s="5" t="str">
        <f t="shared" si="691"/>
        <v>CH</v>
      </c>
      <c r="D1079" t="s">
        <v>1068</v>
      </c>
      <c r="E1079" t="s">
        <v>8</v>
      </c>
      <c r="F1079" s="1">
        <f>[1]Residential!B$10-[1]Residential!B$223</f>
        <v>4.9558943380991718E-2</v>
      </c>
      <c r="G1079" s="1">
        <f>[1]Residential!C$10-[1]Residential!C$223</f>
        <v>8.5224240324365361</v>
      </c>
      <c r="H1079" s="1">
        <f>[1]Residential!D$10-[1]Residential!D$223</f>
        <v>5.1190424796686216</v>
      </c>
      <c r="I1079" s="1">
        <f>[1]Residential!E$10-[1]Residential!E$223</f>
        <v>9.2417358555910241</v>
      </c>
      <c r="J1079" s="1">
        <f>[1]Residential!F$10-[1]Residential!F$223</f>
        <v>16.989880988035093</v>
      </c>
      <c r="K1079" s="1">
        <f>[1]Residential!G$10-[1]Residential!G$223</f>
        <v>24.243835809354124</v>
      </c>
    </row>
    <row r="1080" spans="2:11" x14ac:dyDescent="0.25">
      <c r="B1080" s="5" t="str">
        <f t="shared" si="703"/>
        <v>SPS4</v>
      </c>
      <c r="C1080" s="5" t="str">
        <f t="shared" si="691"/>
        <v>CH</v>
      </c>
      <c r="D1080" t="s">
        <v>1069</v>
      </c>
      <c r="E1080" t="s">
        <v>8</v>
      </c>
      <c r="F1080" s="1">
        <f>[1]Residential!B$224</f>
        <v>26.978301080158953</v>
      </c>
      <c r="G1080" s="1">
        <f>[1]Residential!C$224</f>
        <v>25.928911892757498</v>
      </c>
      <c r="H1080" s="1">
        <f>[1]Residential!D$224</f>
        <v>21.656383615274279</v>
      </c>
      <c r="I1080" s="1">
        <f>[1]Residential!E$224</f>
        <v>22.582793141950773</v>
      </c>
      <c r="J1080" s="1">
        <f>[1]Residential!F$224</f>
        <v>25.580159593332006</v>
      </c>
      <c r="K1080" s="1">
        <f>[1]Residential!G$224</f>
        <v>29.053535462231928</v>
      </c>
    </row>
    <row r="1081" spans="2:11" x14ac:dyDescent="0.25">
      <c r="B1081" s="5" t="str">
        <f t="shared" si="703"/>
        <v>SPS4</v>
      </c>
      <c r="C1081" s="5" t="str">
        <f t="shared" si="691"/>
        <v>CH</v>
      </c>
      <c r="D1081" t="s">
        <v>1119</v>
      </c>
      <c r="E1081" t="s">
        <v>8</v>
      </c>
      <c r="F1081" s="1">
        <f>SUM(F1082:F1083)</f>
        <v>9.8845960634300774</v>
      </c>
      <c r="G1081" s="1">
        <f t="shared" ref="G1081:K1081" si="705">SUM(G1082:G1083)</f>
        <v>10.604167645839418</v>
      </c>
      <c r="H1081" s="1">
        <f t="shared" si="705"/>
        <v>7.5185025619836825</v>
      </c>
      <c r="I1081" s="1">
        <f t="shared" si="705"/>
        <v>9.0941013441988012</v>
      </c>
      <c r="J1081" s="1">
        <f t="shared" si="705"/>
        <v>12.112602102851861</v>
      </c>
      <c r="K1081" s="1">
        <f t="shared" si="705"/>
        <v>15.132706764435014</v>
      </c>
    </row>
    <row r="1082" spans="2:11" x14ac:dyDescent="0.25">
      <c r="B1082" s="5" t="str">
        <f t="shared" si="703"/>
        <v>SPS4</v>
      </c>
      <c r="C1082" s="5" t="str">
        <f t="shared" si="691"/>
        <v>CH</v>
      </c>
      <c r="D1082" t="s">
        <v>1120</v>
      </c>
      <c r="E1082" t="s">
        <v>8</v>
      </c>
      <c r="F1082" s="1">
        <f>[1]Residential!B$231-F1056</f>
        <v>6.6446996072381665</v>
      </c>
      <c r="G1082" s="1">
        <f>[1]Residential!C$231-G1056</f>
        <v>6.9687088093481258</v>
      </c>
      <c r="H1082" s="1">
        <f>[1]Residential!D$231-H1056</f>
        <v>2.8215203551535608</v>
      </c>
      <c r="I1082" s="1">
        <f>[1]Residential!E$231-I1056</f>
        <v>2.2280586192841012</v>
      </c>
      <c r="J1082" s="1">
        <f>[1]Residential!F$231-J1056</f>
        <v>1.8867724194144577</v>
      </c>
      <c r="K1082" s="1">
        <f>[1]Residential!G$231-K1056</f>
        <v>1.6958362674659286</v>
      </c>
    </row>
    <row r="1083" spans="2:11" x14ac:dyDescent="0.25">
      <c r="B1083" s="5" t="str">
        <f t="shared" si="703"/>
        <v>SPS4</v>
      </c>
      <c r="C1083" s="5" t="str">
        <f t="shared" si="691"/>
        <v>CH</v>
      </c>
      <c r="D1083" t="s">
        <v>1121</v>
      </c>
      <c r="E1083" t="s">
        <v>8</v>
      </c>
      <c r="F1083" s="1">
        <f>[1]Residential!B$233-F1057</f>
        <v>3.2398964561919108</v>
      </c>
      <c r="G1083" s="1">
        <f>[1]Residential!C$233-G1057</f>
        <v>3.6354588364912921</v>
      </c>
      <c r="H1083" s="1">
        <f>[1]Residential!D$233-H1057</f>
        <v>4.6969822068301212</v>
      </c>
      <c r="I1083" s="1">
        <f>[1]Residential!E$233-I1057</f>
        <v>6.8660427249146991</v>
      </c>
      <c r="J1083" s="1">
        <f>[1]Residential!F$233-J1057</f>
        <v>10.225829683437404</v>
      </c>
      <c r="K1083" s="1">
        <f>[1]Residential!G$233-K1057</f>
        <v>13.436870496969085</v>
      </c>
    </row>
    <row r="1084" spans="2:11" x14ac:dyDescent="0.25">
      <c r="B1084" s="5" t="str">
        <f t="shared" si="703"/>
        <v>SPS4</v>
      </c>
      <c r="C1084" s="5" t="str">
        <f t="shared" si="691"/>
        <v>CH</v>
      </c>
      <c r="D1084" t="s">
        <v>1070</v>
      </c>
      <c r="E1084" t="s">
        <v>8</v>
      </c>
      <c r="F1084" s="1">
        <f>F1085</f>
        <v>6.9844568147494144</v>
      </c>
      <c r="G1084" s="1">
        <f t="shared" ref="G1084:K1084" si="706">G1085</f>
        <v>5.5413448227358089</v>
      </c>
      <c r="H1084" s="1">
        <f t="shared" si="706"/>
        <v>4.6551251372896161</v>
      </c>
      <c r="I1084" s="1">
        <f t="shared" si="706"/>
        <v>3.1085224287512254</v>
      </c>
      <c r="J1084" s="1">
        <f t="shared" si="706"/>
        <v>1.8013123098402364</v>
      </c>
      <c r="K1084" s="1">
        <f t="shared" si="706"/>
        <v>0.83393256463551957</v>
      </c>
    </row>
    <row r="1085" spans="2:11" x14ac:dyDescent="0.25">
      <c r="B1085" s="5" t="str">
        <f t="shared" si="703"/>
        <v>SPS4</v>
      </c>
      <c r="C1085" s="5" t="str">
        <f t="shared" si="691"/>
        <v>CH</v>
      </c>
      <c r="D1085" t="s">
        <v>1071</v>
      </c>
      <c r="E1085" t="s">
        <v>8</v>
      </c>
      <c r="F1085" s="1">
        <f>[1]Residential!B$234-F1059</f>
        <v>6.9844568147494144</v>
      </c>
      <c r="G1085" s="1">
        <f>[1]Residential!C$234-G1059</f>
        <v>5.5413448227358089</v>
      </c>
      <c r="H1085" s="1">
        <f>[1]Residential!D$234-H1059</f>
        <v>4.6551251372896161</v>
      </c>
      <c r="I1085" s="1">
        <f>[1]Residential!E$234-I1059</f>
        <v>3.1085224287512254</v>
      </c>
      <c r="J1085" s="1">
        <f>[1]Residential!F$234-J1059</f>
        <v>1.8013123098402364</v>
      </c>
      <c r="K1085" s="1">
        <f>[1]Residential!G$234-K1059</f>
        <v>0.83393256463551957</v>
      </c>
    </row>
    <row r="1086" spans="2:11" x14ac:dyDescent="0.25">
      <c r="B1086" s="5" t="str">
        <f t="shared" si="703"/>
        <v>SPS4</v>
      </c>
      <c r="C1086" s="5" t="str">
        <f t="shared" si="691"/>
        <v>CH</v>
      </c>
      <c r="D1086" t="s">
        <v>1072</v>
      </c>
      <c r="E1086" t="s">
        <v>8</v>
      </c>
      <c r="F1086" s="1">
        <f>SUM(F1087:F1088)</f>
        <v>6.3804514446772629</v>
      </c>
      <c r="G1086" s="1">
        <f t="shared" ref="G1086:K1086" si="707">SUM(G1087:G1088)</f>
        <v>5.5412224836145114</v>
      </c>
      <c r="H1086" s="1">
        <f t="shared" si="707"/>
        <v>6.3534518273829663</v>
      </c>
      <c r="I1086" s="1">
        <f t="shared" si="707"/>
        <v>6.6710147281096805</v>
      </c>
      <c r="J1086" s="1">
        <f t="shared" si="707"/>
        <v>7.2007430426757306</v>
      </c>
      <c r="K1086" s="1">
        <f t="shared" si="707"/>
        <v>7.959548800261989</v>
      </c>
    </row>
    <row r="1087" spans="2:11" x14ac:dyDescent="0.25">
      <c r="B1087" s="5" t="str">
        <f t="shared" si="703"/>
        <v>SPS4</v>
      </c>
      <c r="C1087" s="5" t="str">
        <f t="shared" si="691"/>
        <v>CH</v>
      </c>
      <c r="D1087" t="s">
        <v>1073</v>
      </c>
      <c r="E1087" t="s">
        <v>8</v>
      </c>
      <c r="F1087" s="1">
        <f>[1]Residential!B$235-F1061</f>
        <v>6.3804514446772629</v>
      </c>
      <c r="G1087" s="1">
        <f>[1]Residential!C$235-G1061</f>
        <v>5.5412224836145114</v>
      </c>
      <c r="H1087" s="1">
        <f>[1]Residential!D$235-H1061</f>
        <v>5.4443148373543124</v>
      </c>
      <c r="I1087" s="1">
        <f>[1]Residential!E$235-I1061</f>
        <v>4.4599122497917989</v>
      </c>
      <c r="J1087" s="1">
        <f>[1]Residential!F$235-J1061</f>
        <v>3.0241212894551381</v>
      </c>
      <c r="K1087" s="1">
        <f>[1]Residential!G$235-K1061</f>
        <v>1.9163123757919012</v>
      </c>
    </row>
    <row r="1088" spans="2:11" x14ac:dyDescent="0.25">
      <c r="B1088" s="5" t="str">
        <f t="shared" si="703"/>
        <v>SPS4</v>
      </c>
      <c r="C1088" s="5" t="str">
        <f t="shared" si="691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0.90913699002865389</v>
      </c>
      <c r="I1088" s="1">
        <f>[1]Residential!E$236-I1062</f>
        <v>2.2111024783178816</v>
      </c>
      <c r="J1088" s="1">
        <f>[1]Residential!F$236-J1062</f>
        <v>4.1766217532205925</v>
      </c>
      <c r="K1088" s="1">
        <f>[1]Residential!G$236-K1062</f>
        <v>6.0432364244700878</v>
      </c>
    </row>
    <row r="1089" spans="2:11" x14ac:dyDescent="0.25">
      <c r="B1089" s="5" t="str">
        <f t="shared" si="703"/>
        <v>SPS4</v>
      </c>
      <c r="C1089" s="5" t="str">
        <f t="shared" si="691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03"/>
        <v>SPS4</v>
      </c>
      <c r="C1090" s="5" t="str">
        <f t="shared" si="691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03"/>
        <v>SPS4</v>
      </c>
      <c r="C1091" s="5" t="str">
        <f t="shared" si="691"/>
        <v>CH</v>
      </c>
      <c r="D1091" t="s">
        <v>1077</v>
      </c>
      <c r="E1091" t="s">
        <v>8</v>
      </c>
      <c r="F1091" s="1">
        <f>SUM(F1092,F1096)</f>
        <v>1.3170457940367486</v>
      </c>
      <c r="G1091" s="1">
        <f t="shared" ref="G1091:K1091" si="708">SUM(G1092,G1096)</f>
        <v>1.463376726648222</v>
      </c>
      <c r="H1091" s="1">
        <f t="shared" si="708"/>
        <v>0.94735440230055268</v>
      </c>
      <c r="I1091" s="1">
        <f t="shared" si="708"/>
        <v>1.1460781018403345</v>
      </c>
      <c r="J1091" s="1">
        <f t="shared" si="708"/>
        <v>1.3458920794688201</v>
      </c>
      <c r="K1091" s="1">
        <f t="shared" si="708"/>
        <v>1.4901206152450168</v>
      </c>
    </row>
    <row r="1092" spans="2:11" x14ac:dyDescent="0.25">
      <c r="B1092" s="5" t="str">
        <f t="shared" si="703"/>
        <v>SPS4</v>
      </c>
      <c r="C1092" s="5" t="str">
        <f t="shared" si="691"/>
        <v>CH</v>
      </c>
      <c r="D1092" t="s">
        <v>1078</v>
      </c>
      <c r="E1092" t="s">
        <v>8</v>
      </c>
      <c r="F1092" s="1">
        <f>[1]Residential!B$238-F1066</f>
        <v>1.5499966035140006E-2</v>
      </c>
      <c r="G1092" s="1">
        <f>[1]Residential!C$238-G1066</f>
        <v>1.7058513740534822E-3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25">
      <c r="B1093" s="5" t="str">
        <f t="shared" si="703"/>
        <v>SPS4</v>
      </c>
      <c r="C1093" s="5" t="str">
        <f t="shared" si="691"/>
        <v>CH</v>
      </c>
      <c r="D1093" t="s">
        <v>1079</v>
      </c>
      <c r="E1093" t="s">
        <v>8</v>
      </c>
      <c r="F1093" s="1">
        <f>IFERROR(F$1092/F$1041,0)*F1042</f>
        <v>1.5473007199730316E-2</v>
      </c>
      <c r="G1093" s="1">
        <f t="shared" ref="G1093:K1095" si="709">IFERROR(G$1092/G$1041,0)*G1042</f>
        <v>1.666141849267693E-3</v>
      </c>
      <c r="H1093" s="1">
        <f t="shared" si="709"/>
        <v>0</v>
      </c>
      <c r="I1093" s="1">
        <f t="shared" si="709"/>
        <v>0</v>
      </c>
      <c r="J1093" s="1">
        <f t="shared" si="709"/>
        <v>0</v>
      </c>
      <c r="K1093" s="1">
        <f t="shared" si="709"/>
        <v>0</v>
      </c>
    </row>
    <row r="1094" spans="2:11" x14ac:dyDescent="0.25">
      <c r="B1094" s="5" t="str">
        <f t="shared" si="703"/>
        <v>SPS4</v>
      </c>
      <c r="C1094" s="5" t="str">
        <f t="shared" si="691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09"/>
        <v>0</v>
      </c>
      <c r="H1094" s="1">
        <f t="shared" si="709"/>
        <v>0</v>
      </c>
      <c r="I1094" s="1">
        <f t="shared" si="709"/>
        <v>0</v>
      </c>
      <c r="J1094" s="1">
        <f t="shared" si="709"/>
        <v>0</v>
      </c>
      <c r="K1094" s="1">
        <f t="shared" si="709"/>
        <v>0</v>
      </c>
    </row>
    <row r="1095" spans="2:11" x14ac:dyDescent="0.25">
      <c r="B1095" s="5" t="str">
        <f t="shared" si="703"/>
        <v>SPS4</v>
      </c>
      <c r="C1095" s="5" t="str">
        <f t="shared" si="691"/>
        <v>CH</v>
      </c>
      <c r="D1095" t="s">
        <v>1081</v>
      </c>
      <c r="E1095" t="s">
        <v>8</v>
      </c>
      <c r="F1095" s="1">
        <f>IFERROR(F$1092/F$1041,0)*F1044</f>
        <v>2.6958835409689951E-5</v>
      </c>
      <c r="G1095" s="1">
        <f t="shared" si="709"/>
        <v>3.9709524785789113E-5</v>
      </c>
      <c r="H1095" s="1">
        <f t="shared" si="709"/>
        <v>0</v>
      </c>
      <c r="I1095" s="1">
        <f t="shared" si="709"/>
        <v>0</v>
      </c>
      <c r="J1095" s="1">
        <f t="shared" si="709"/>
        <v>0</v>
      </c>
      <c r="K1095" s="1">
        <f t="shared" si="709"/>
        <v>0</v>
      </c>
    </row>
    <row r="1096" spans="2:11" x14ac:dyDescent="0.25">
      <c r="B1096" s="5" t="str">
        <f t="shared" si="703"/>
        <v>SPS4</v>
      </c>
      <c r="C1096" s="5" t="str">
        <f t="shared" si="691"/>
        <v>CH</v>
      </c>
      <c r="D1096" t="s">
        <v>1082</v>
      </c>
      <c r="E1096" t="s">
        <v>8</v>
      </c>
      <c r="F1096" s="1">
        <f>[1]Residential!B$239-F1070</f>
        <v>1.3015458280016086</v>
      </c>
      <c r="G1096" s="1">
        <f>[1]Residential!C$239-G1070</f>
        <v>1.4616708752741685</v>
      </c>
      <c r="H1096" s="1">
        <f>[1]Residential!D$239-H1070</f>
        <v>0.94735440230055268</v>
      </c>
      <c r="I1096" s="1">
        <f>[1]Residential!E$239-I1070</f>
        <v>1.1460781018403345</v>
      </c>
      <c r="J1096" s="1">
        <f>[1]Residential!F$239-J1070</f>
        <v>1.3458920794688201</v>
      </c>
      <c r="K1096" s="1">
        <f>[1]Residential!G$239-K1070</f>
        <v>1.4901206152450168</v>
      </c>
    </row>
    <row r="1097" spans="2:11" x14ac:dyDescent="0.25">
      <c r="B1097" s="5" t="str">
        <f t="shared" si="703"/>
        <v>SPS4</v>
      </c>
      <c r="C1097" s="5" t="str">
        <f t="shared" si="691"/>
        <v>CH</v>
      </c>
      <c r="D1097" t="s">
        <v>1083</v>
      </c>
      <c r="E1097" t="s">
        <v>8</v>
      </c>
      <c r="F1097" s="1">
        <f>F1098</f>
        <v>0.52047096245035718</v>
      </c>
      <c r="G1097" s="1">
        <f t="shared" ref="G1097:K1097" si="710">G1098</f>
        <v>0.59724051604959705</v>
      </c>
      <c r="H1097" s="1">
        <f t="shared" si="710"/>
        <v>1.1866053190037533</v>
      </c>
      <c r="I1097" s="1">
        <f t="shared" si="710"/>
        <v>1.3267531447621828</v>
      </c>
      <c r="J1097" s="1">
        <f t="shared" si="710"/>
        <v>1.5489355303206906</v>
      </c>
      <c r="K1097" s="1">
        <f t="shared" si="710"/>
        <v>1.7475827433534112</v>
      </c>
    </row>
    <row r="1098" spans="2:11" x14ac:dyDescent="0.25">
      <c r="B1098" s="5" t="str">
        <f t="shared" si="703"/>
        <v>SPS4</v>
      </c>
      <c r="C1098" s="5" t="str">
        <f t="shared" si="691"/>
        <v>CH</v>
      </c>
      <c r="D1098" t="s">
        <v>1084</v>
      </c>
      <c r="E1098" t="s">
        <v>8</v>
      </c>
      <c r="F1098" s="1">
        <f>[1]Residential!B$240-F1072</f>
        <v>0.52047096245035718</v>
      </c>
      <c r="G1098" s="1">
        <f>[1]Residential!C$240-G1072</f>
        <v>0.59724051604959705</v>
      </c>
      <c r="H1098" s="1">
        <f>[1]Residential!D$240-H1072</f>
        <v>1.1866053190037533</v>
      </c>
      <c r="I1098" s="1">
        <f>[1]Residential!E$240-I1072</f>
        <v>1.3267531447621828</v>
      </c>
      <c r="J1098" s="1">
        <f>[1]Residential!F$240-J1072</f>
        <v>1.5489355303206906</v>
      </c>
      <c r="K1098" s="1">
        <f>[1]Residential!G$240-K1072</f>
        <v>1.7475827433534112</v>
      </c>
    </row>
    <row r="1099" spans="2:11" x14ac:dyDescent="0.25">
      <c r="B1099" s="5" t="str">
        <f t="shared" si="703"/>
        <v>SPS4</v>
      </c>
      <c r="C1099" s="5" t="str">
        <f t="shared" si="691"/>
        <v>CH</v>
      </c>
      <c r="D1099" t="s">
        <v>1085</v>
      </c>
      <c r="E1099" t="s">
        <v>8</v>
      </c>
      <c r="F1099" s="1">
        <f>F1100</f>
        <v>0.16979197615523889</v>
      </c>
      <c r="G1099" s="1">
        <f t="shared" ref="G1099" si="711">G1100</f>
        <v>0.19483627225540401</v>
      </c>
      <c r="H1099" s="1">
        <f t="shared" ref="H1099" si="712">H1100</f>
        <v>8.3704784052917536E-2</v>
      </c>
      <c r="I1099" s="1">
        <f t="shared" ref="I1099" si="713">I1100</f>
        <v>0.15792375157972804</v>
      </c>
      <c r="J1099" s="1">
        <f t="shared" ref="J1099" si="714">J1100</f>
        <v>0.29363741938657784</v>
      </c>
      <c r="K1099" s="1">
        <f t="shared" ref="K1099" si="715">K1100</f>
        <v>0.42069003246744407</v>
      </c>
    </row>
    <row r="1100" spans="2:11" x14ac:dyDescent="0.25">
      <c r="B1100" s="5" t="str">
        <f t="shared" si="703"/>
        <v>SPS4</v>
      </c>
      <c r="C1100" s="5" t="str">
        <f t="shared" si="691"/>
        <v>CH</v>
      </c>
      <c r="D1100" t="s">
        <v>1086</v>
      </c>
      <c r="E1100" t="s">
        <v>8</v>
      </c>
      <c r="F1100" s="1">
        <f>[1]Residential!B$241-F1074</f>
        <v>0.16979197615523889</v>
      </c>
      <c r="G1100" s="1">
        <f>[1]Residential!C$241-G1074</f>
        <v>0.19483627225540401</v>
      </c>
      <c r="H1100" s="1">
        <f>[1]Residential!D$241-H1074</f>
        <v>8.3704784052917536E-2</v>
      </c>
      <c r="I1100" s="1">
        <f>[1]Residential!E$241-I1074</f>
        <v>0.15792375157972804</v>
      </c>
      <c r="J1100" s="1">
        <f>[1]Residential!F$241-J1074</f>
        <v>0.29363741938657784</v>
      </c>
      <c r="K1100" s="1">
        <f>[1]Residential!G$241-K1074</f>
        <v>0.42069003246744407</v>
      </c>
    </row>
    <row r="1101" spans="2:11" x14ac:dyDescent="0.25">
      <c r="B1101" s="5" t="str">
        <f t="shared" si="703"/>
        <v>SPS4</v>
      </c>
      <c r="C1101" s="5" t="str">
        <f t="shared" si="691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16">G1102</f>
        <v>1.9867234256145299</v>
      </c>
      <c r="H1101" s="1">
        <f t="shared" ref="H1101" si="717">H1102</f>
        <v>0.91163958326079764</v>
      </c>
      <c r="I1101" s="1">
        <f t="shared" ref="I1101" si="718">I1102</f>
        <v>1.0783996427088263</v>
      </c>
      <c r="J1101" s="1">
        <f t="shared" ref="J1101" si="719">J1102</f>
        <v>1.2770371087880916</v>
      </c>
      <c r="K1101" s="1">
        <f t="shared" ref="K1101" si="720">K1102</f>
        <v>1.4689539418335271</v>
      </c>
    </row>
    <row r="1102" spans="2:11" x14ac:dyDescent="0.25">
      <c r="B1102" s="5" t="str">
        <f t="shared" si="703"/>
        <v>SPS4</v>
      </c>
      <c r="C1102" s="5" t="str">
        <f t="shared" si="691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1.9867234256145299</v>
      </c>
      <c r="H1102" s="1">
        <f>[1]Residential!D$242-H1076</f>
        <v>0.91163958326079764</v>
      </c>
      <c r="I1102" s="1">
        <f>[1]Residential!E$242-I1076</f>
        <v>1.0783996427088263</v>
      </c>
      <c r="J1102" s="1">
        <f>[1]Residential!F$242-J1076</f>
        <v>1.2770371087880916</v>
      </c>
      <c r="K1102" s="1">
        <f>[1]Residential!G$242-K1076</f>
        <v>1.4689539418335271</v>
      </c>
    </row>
    <row r="1103" spans="2:11" x14ac:dyDescent="0.25">
      <c r="B1103" s="5" t="str">
        <f t="shared" si="703"/>
        <v>SPS4</v>
      </c>
      <c r="C1103" s="5" t="str">
        <f t="shared" si="691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21">G1104</f>
        <v>0</v>
      </c>
      <c r="H1103" s="1">
        <f t="shared" ref="H1103" si="722">H1104</f>
        <v>0</v>
      </c>
      <c r="I1103" s="1">
        <f t="shared" ref="I1103" si="723">I1104</f>
        <v>0</v>
      </c>
      <c r="J1103" s="1">
        <f t="shared" ref="J1103" si="724">J1104</f>
        <v>0</v>
      </c>
      <c r="K1103" s="1">
        <f t="shared" ref="K1103" si="725">K1104</f>
        <v>0</v>
      </c>
    </row>
    <row r="1104" spans="2:11" x14ac:dyDescent="0.25">
      <c r="B1104" s="5" t="str">
        <f t="shared" si="703"/>
        <v>SPS4</v>
      </c>
      <c r="C1104" s="5" t="str">
        <f t="shared" si="691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03"/>
        <v>SPS4</v>
      </c>
      <c r="C1105" s="5" t="str">
        <f t="shared" si="691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si="703"/>
        <v>SPS4</v>
      </c>
      <c r="C1106" s="5" t="str">
        <f t="shared" ref="C1106:C1133" si="726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 t="shared" si="703"/>
        <v>SPS4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0.94999999999999951</v>
      </c>
      <c r="G1107" s="4">
        <f t="shared" ref="G1107:K1108" si="727">IFERROR(G1056/G973,"-")</f>
        <v>0.9500000000000004</v>
      </c>
      <c r="H1107" s="4">
        <f t="shared" si="727"/>
        <v>0.91795704613852247</v>
      </c>
      <c r="I1107" s="4">
        <f t="shared" si="727"/>
        <v>0.92345788652388971</v>
      </c>
      <c r="J1107" s="4">
        <f t="shared" si="727"/>
        <v>0.94824679190703898</v>
      </c>
      <c r="K1107" s="4">
        <f t="shared" si="727"/>
        <v>0.94956854307113847</v>
      </c>
    </row>
    <row r="1108" spans="2:11" x14ac:dyDescent="0.25">
      <c r="B1108" s="5" t="str">
        <f t="shared" si="703"/>
        <v>SPS4</v>
      </c>
      <c r="C1108" s="5" t="str">
        <f t="shared" si="726"/>
        <v>CH</v>
      </c>
      <c r="D1108" t="s">
        <v>1123</v>
      </c>
      <c r="E1108" t="s">
        <v>240</v>
      </c>
      <c r="F1108" s="4">
        <f>IFERROR(F1057/F974,"-")</f>
        <v>3.2000000345181721</v>
      </c>
      <c r="G1108" s="4">
        <f t="shared" si="727"/>
        <v>3.253333365493448</v>
      </c>
      <c r="H1108" s="4">
        <f t="shared" si="727"/>
        <v>2.9752517561815601</v>
      </c>
      <c r="I1108" s="4">
        <f t="shared" si="727"/>
        <v>3.1847410038664377</v>
      </c>
      <c r="J1108" s="4">
        <f t="shared" si="727"/>
        <v>3.4609203308469731</v>
      </c>
      <c r="K1108" s="4">
        <f t="shared" si="727"/>
        <v>3.7525004031249027</v>
      </c>
    </row>
    <row r="1109" spans="2:11" x14ac:dyDescent="0.25">
      <c r="B1109" s="5" t="str">
        <f t="shared" si="703"/>
        <v>SPS4</v>
      </c>
      <c r="C1109" s="5" t="str">
        <f t="shared" si="726"/>
        <v>CH</v>
      </c>
      <c r="D1109" t="s">
        <v>1093</v>
      </c>
      <c r="E1109" t="s">
        <v>240</v>
      </c>
      <c r="F1109" s="4">
        <f>IFERROR(F1059/F983,"-")</f>
        <v>0.89583333333333404</v>
      </c>
      <c r="G1109" s="4">
        <f t="shared" ref="G1109:K1109" si="728">IFERROR(G1059/G983,"-")</f>
        <v>0.89583333333333426</v>
      </c>
      <c r="H1109" s="4">
        <f t="shared" si="728"/>
        <v>0.85525338430179609</v>
      </c>
      <c r="I1109" s="4">
        <f t="shared" si="728"/>
        <v>0.87062207666119662</v>
      </c>
      <c r="J1109" s="4">
        <f t="shared" si="728"/>
        <v>0.88429408640283125</v>
      </c>
      <c r="K1109" s="4">
        <f t="shared" si="728"/>
        <v>0.88657751755974545</v>
      </c>
    </row>
    <row r="1110" spans="2:11" x14ac:dyDescent="0.25">
      <c r="B1110" s="5" t="str">
        <f t="shared" si="703"/>
        <v>SPS4</v>
      </c>
      <c r="C1110" s="5" t="str">
        <f t="shared" si="726"/>
        <v>CH</v>
      </c>
      <c r="D1110" t="s">
        <v>1094</v>
      </c>
      <c r="E1110" t="s">
        <v>240</v>
      </c>
      <c r="F1110" s="4">
        <f>IFERROR(F1061/F996,"-")</f>
        <v>0.95000000000000029</v>
      </c>
      <c r="G1110" s="4">
        <f t="shared" ref="G1110:K1110" si="729">IFERROR(G1061/G996,"-")</f>
        <v>0.94999999999999973</v>
      </c>
      <c r="H1110" s="4">
        <f t="shared" si="729"/>
        <v>0.93515163646239996</v>
      </c>
      <c r="I1110" s="4">
        <f t="shared" si="729"/>
        <v>0.94145563700693935</v>
      </c>
      <c r="J1110" s="4">
        <f t="shared" si="729"/>
        <v>0.94661028313646012</v>
      </c>
      <c r="K1110" s="4">
        <f t="shared" si="729"/>
        <v>0.95079205544761114</v>
      </c>
    </row>
    <row r="1111" spans="2:11" x14ac:dyDescent="0.25">
      <c r="B1111" s="5" t="str">
        <f t="shared" si="703"/>
        <v>SPS4</v>
      </c>
      <c r="C1111" s="5" t="str">
        <f t="shared" si="726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30">IFERROR(G1062/G997,"-")</f>
        <v>-</v>
      </c>
      <c r="H1111" s="4">
        <f t="shared" si="730"/>
        <v>1.8589554323663116</v>
      </c>
      <c r="I1111" s="4">
        <f t="shared" si="730"/>
        <v>1.9096513393674559</v>
      </c>
      <c r="J1111" s="4">
        <f t="shared" si="730"/>
        <v>1.9626000653089173</v>
      </c>
      <c r="K1111" s="4">
        <f t="shared" si="730"/>
        <v>2.0078716414785625</v>
      </c>
    </row>
    <row r="1112" spans="2:11" x14ac:dyDescent="0.25">
      <c r="B1112" s="5" t="str">
        <f t="shared" si="703"/>
        <v>SPS4</v>
      </c>
      <c r="C1112" s="5" t="str">
        <f t="shared" si="726"/>
        <v>CH</v>
      </c>
      <c r="D1112" t="s">
        <v>1096</v>
      </c>
      <c r="E1112" t="s">
        <v>240</v>
      </c>
      <c r="F1112" s="4">
        <f>IFERROR(F1064/F1015,"-")</f>
        <v>0.71999999999999986</v>
      </c>
      <c r="G1112" s="4">
        <f t="shared" ref="G1112:K1112" si="731">IFERROR(G1064/G1015,"-")</f>
        <v>0.71999999999999953</v>
      </c>
      <c r="H1112" s="4">
        <f t="shared" si="731"/>
        <v>0.79930067458572684</v>
      </c>
      <c r="I1112" s="4">
        <f t="shared" si="731"/>
        <v>0.7999111343236055</v>
      </c>
      <c r="J1112" s="4" t="str">
        <f t="shared" si="731"/>
        <v>-</v>
      </c>
      <c r="K1112" s="4" t="str">
        <f t="shared" si="731"/>
        <v>-</v>
      </c>
    </row>
    <row r="1113" spans="2:11" x14ac:dyDescent="0.25">
      <c r="B1113" s="5" t="str">
        <f t="shared" si="703"/>
        <v>SPS4</v>
      </c>
      <c r="C1113" s="5" t="str">
        <f t="shared" si="726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03"/>
        <v>SPS4</v>
      </c>
      <c r="C1114" s="5" t="str">
        <f t="shared" si="726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03"/>
        <v>SPS4</v>
      </c>
      <c r="C1115" s="5" t="str">
        <f t="shared" si="726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03"/>
        <v>SPS4</v>
      </c>
      <c r="C1116" s="5" t="str">
        <f t="shared" si="726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03"/>
        <v>SPS4</v>
      </c>
      <c r="C1117" s="5" t="str">
        <f t="shared" si="726"/>
        <v>CH</v>
      </c>
      <c r="D1117" t="s">
        <v>1101</v>
      </c>
      <c r="E1117" t="s">
        <v>240</v>
      </c>
      <c r="F1117" s="4">
        <f>IFERROR(F1072/F1020,"-")</f>
        <v>0.71999999999999975</v>
      </c>
      <c r="G1117" s="4">
        <f t="shared" ref="G1117:K1117" si="732">IFERROR(G1072/G1020,"-")</f>
        <v>0.72000000000000008</v>
      </c>
      <c r="H1117" s="4">
        <f t="shared" si="732"/>
        <v>0.71923891885080982</v>
      </c>
      <c r="I1117" s="4">
        <f t="shared" si="732"/>
        <v>0.73065196549494382</v>
      </c>
      <c r="J1117" s="4">
        <f t="shared" si="732"/>
        <v>0.74057589596182294</v>
      </c>
      <c r="K1117" s="4">
        <f t="shared" si="732"/>
        <v>0.74939793828147017</v>
      </c>
    </row>
    <row r="1118" spans="2:11" x14ac:dyDescent="0.25">
      <c r="B1118" s="5" t="str">
        <f t="shared" si="703"/>
        <v>SPS4</v>
      </c>
      <c r="C1118" s="5" t="str">
        <f t="shared" si="726"/>
        <v>CH</v>
      </c>
      <c r="D1118" t="s">
        <v>1102</v>
      </c>
      <c r="E1118" t="s">
        <v>240</v>
      </c>
      <c r="F1118" s="4">
        <f>IFERROR(F1074/F1025,"-")</f>
        <v>0.9</v>
      </c>
      <c r="G1118" s="4">
        <f t="shared" ref="G1118:K1118" si="733">IFERROR(G1074/G1025,"-")</f>
        <v>0.9000000000000008</v>
      </c>
      <c r="H1118" s="4">
        <f t="shared" si="733"/>
        <v>0.73506962489170868</v>
      </c>
      <c r="I1118" s="4">
        <f t="shared" si="733"/>
        <v>0.74206874014571689</v>
      </c>
      <c r="J1118" s="4">
        <f t="shared" si="733"/>
        <v>0.74680005591864185</v>
      </c>
      <c r="K1118" s="4">
        <f t="shared" si="733"/>
        <v>0.75020763736648888</v>
      </c>
    </row>
    <row r="1119" spans="2:11" x14ac:dyDescent="0.25">
      <c r="B1119" s="5" t="str">
        <f t="shared" si="703"/>
        <v>SPS4</v>
      </c>
      <c r="C1119" s="5" t="str">
        <f t="shared" si="726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03"/>
        <v>SPS4</v>
      </c>
      <c r="C1120" s="5" t="str">
        <f t="shared" si="726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34">IFERROR(G1078/G1037,"-")</f>
        <v>-</v>
      </c>
      <c r="H1120" s="4" t="str">
        <f t="shared" si="734"/>
        <v>-</v>
      </c>
      <c r="I1120" s="4" t="str">
        <f t="shared" si="734"/>
        <v>-</v>
      </c>
      <c r="J1120" s="4" t="str">
        <f t="shared" si="734"/>
        <v>-</v>
      </c>
      <c r="K1120" s="4" t="str">
        <f t="shared" si="734"/>
        <v>-</v>
      </c>
    </row>
    <row r="1121" spans="2:11" x14ac:dyDescent="0.25">
      <c r="B1121" s="5" t="str">
        <f t="shared" si="703"/>
        <v>SPS4</v>
      </c>
      <c r="C1121" s="5" t="str">
        <f t="shared" si="726"/>
        <v>CH</v>
      </c>
      <c r="D1121" t="s">
        <v>1124</v>
      </c>
      <c r="E1121" t="s">
        <v>240</v>
      </c>
      <c r="F1121" s="4">
        <f>IFERROR(F1082/F976,"-")</f>
        <v>0.79000000000000037</v>
      </c>
      <c r="G1121" s="4">
        <f t="shared" ref="G1121:K1122" si="735">IFERROR(G1082/G976,"-")</f>
        <v>0.79200000000000048</v>
      </c>
      <c r="H1121" s="4">
        <f t="shared" si="735"/>
        <v>0.46575035486607302</v>
      </c>
      <c r="I1121" s="4">
        <f t="shared" si="735"/>
        <v>0.48202581480220846</v>
      </c>
      <c r="J1121" s="4">
        <f t="shared" si="735"/>
        <v>0.50256049644929079</v>
      </c>
      <c r="K1121" s="4">
        <f t="shared" si="735"/>
        <v>0.51652779344237165</v>
      </c>
    </row>
    <row r="1122" spans="2:11" x14ac:dyDescent="0.25">
      <c r="B1122" s="5" t="str">
        <f t="shared" si="703"/>
        <v>SPS4</v>
      </c>
      <c r="C1122" s="5" t="str">
        <f t="shared" si="726"/>
        <v>CH</v>
      </c>
      <c r="D1122" t="s">
        <v>1125</v>
      </c>
      <c r="E1122" t="s">
        <v>240</v>
      </c>
      <c r="F1122" s="4">
        <f>IFERROR(F1083/F977,"-")</f>
        <v>2.8199999999999981</v>
      </c>
      <c r="G1122" s="4">
        <f t="shared" si="735"/>
        <v>2.8260000000000027</v>
      </c>
      <c r="H1122" s="4">
        <f t="shared" si="735"/>
        <v>1.8776903538874792</v>
      </c>
      <c r="I1122" s="4">
        <f t="shared" si="735"/>
        <v>2.0363787783079097</v>
      </c>
      <c r="J1122" s="4">
        <f t="shared" si="735"/>
        <v>2.2382295514764201</v>
      </c>
      <c r="K1122" s="4">
        <f t="shared" si="735"/>
        <v>2.4453373204317264</v>
      </c>
    </row>
    <row r="1123" spans="2:11" x14ac:dyDescent="0.25">
      <c r="B1123" s="5" t="str">
        <f t="shared" si="703"/>
        <v>SPS4</v>
      </c>
      <c r="C1123" s="5" t="str">
        <f t="shared" si="726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36">IFERROR(G1085/G989,"-")</f>
        <v>0.71458333333333224</v>
      </c>
      <c r="H1123" s="4">
        <f t="shared" si="736"/>
        <v>0.50430053302021982</v>
      </c>
      <c r="I1123" s="4">
        <f t="shared" si="736"/>
        <v>0.52666308098260484</v>
      </c>
      <c r="J1123" s="4">
        <f t="shared" si="736"/>
        <v>0.55303021363144667</v>
      </c>
      <c r="K1123" s="4">
        <f t="shared" si="736"/>
        <v>0.567314514325025</v>
      </c>
    </row>
    <row r="1124" spans="2:11" x14ac:dyDescent="0.25">
      <c r="B1124" s="5" t="str">
        <f t="shared" si="703"/>
        <v>SPS4</v>
      </c>
      <c r="C1124" s="5" t="str">
        <f t="shared" si="726"/>
        <v>CH</v>
      </c>
      <c r="D1124" t="s">
        <v>1106</v>
      </c>
      <c r="E1124" t="s">
        <v>240</v>
      </c>
      <c r="F1124" s="4">
        <f>IFERROR(F1087/F1005,"-")</f>
        <v>0.74999999999999933</v>
      </c>
      <c r="G1124" s="4">
        <f t="shared" ref="G1124:K1124" si="737">IFERROR(G1087/G1005,"-")</f>
        <v>0.75400000000000089</v>
      </c>
      <c r="H1124" s="4">
        <f t="shared" si="737"/>
        <v>0.53249040666809422</v>
      </c>
      <c r="I1124" s="4">
        <f t="shared" si="737"/>
        <v>0.55109458367664632</v>
      </c>
      <c r="J1124" s="4">
        <f t="shared" si="737"/>
        <v>0.57048022420004141</v>
      </c>
      <c r="K1124" s="4">
        <f t="shared" si="737"/>
        <v>0.59587294676124392</v>
      </c>
    </row>
    <row r="1125" spans="2:11" x14ac:dyDescent="0.25">
      <c r="B1125" s="5" t="str">
        <f t="shared" si="703"/>
        <v>SPS4</v>
      </c>
      <c r="C1125" s="5" t="str">
        <f t="shared" si="726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38">IFERROR(G1088/G1006,"-")</f>
        <v>-</v>
      </c>
      <c r="H1125" s="4">
        <f t="shared" si="738"/>
        <v>2.0030230345205196</v>
      </c>
      <c r="I1125" s="4">
        <f t="shared" si="738"/>
        <v>2.1668105825164092</v>
      </c>
      <c r="J1125" s="4">
        <f t="shared" si="738"/>
        <v>2.3496940541588791</v>
      </c>
      <c r="K1125" s="4">
        <f t="shared" si="738"/>
        <v>2.5264465742772968</v>
      </c>
    </row>
    <row r="1126" spans="2:11" x14ac:dyDescent="0.25">
      <c r="B1126" s="5" t="str">
        <f t="shared" si="703"/>
        <v>SPS4</v>
      </c>
      <c r="C1126" s="5" t="str">
        <f t="shared" si="726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03"/>
        <v>SPS4</v>
      </c>
      <c r="C1127" s="5" t="str">
        <f t="shared" si="726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03"/>
        <v>SPS4</v>
      </c>
      <c r="C1128" s="5" t="str">
        <f t="shared" si="726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03"/>
        <v>SPS4</v>
      </c>
      <c r="C1129" s="5" t="str">
        <f t="shared" si="726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03"/>
        <v>SPS4</v>
      </c>
      <c r="C1130" s="5" t="str">
        <f t="shared" si="726"/>
        <v>CH</v>
      </c>
      <c r="D1130" t="s">
        <v>1112</v>
      </c>
      <c r="E1130" t="s">
        <v>240</v>
      </c>
      <c r="F1130" s="4">
        <f>IFERROR(F1098/F1022,"-")</f>
        <v>0.49999999999999956</v>
      </c>
      <c r="G1130" s="4">
        <f t="shared" ref="G1130:K1130" si="739">IFERROR(G1098/G1022,"-")</f>
        <v>0.49999999999999972</v>
      </c>
      <c r="H1130" s="4">
        <f t="shared" si="739"/>
        <v>0.43804744809043783</v>
      </c>
      <c r="I1130" s="4">
        <f t="shared" si="739"/>
        <v>0.45226580980634368</v>
      </c>
      <c r="J1130" s="4">
        <f t="shared" si="739"/>
        <v>0.47139318431827393</v>
      </c>
      <c r="K1130" s="4">
        <f t="shared" si="739"/>
        <v>0.48810289678354463</v>
      </c>
    </row>
    <row r="1131" spans="2:11" x14ac:dyDescent="0.25">
      <c r="B1131" s="5" t="str">
        <f t="shared" si="703"/>
        <v>SPS4</v>
      </c>
      <c r="C1131" s="5" t="str">
        <f t="shared" si="726"/>
        <v>CH</v>
      </c>
      <c r="D1131" t="s">
        <v>1113</v>
      </c>
      <c r="E1131" t="s">
        <v>240</v>
      </c>
      <c r="F1131" s="4">
        <f>IFERROR(F1100/F1027,"-")</f>
        <v>0.62499999999999978</v>
      </c>
      <c r="G1131" s="4">
        <f t="shared" ref="G1131:K1131" si="740">IFERROR(G1100/G1027,"-")</f>
        <v>0.62499999999999978</v>
      </c>
      <c r="H1131" s="4">
        <f t="shared" si="740"/>
        <v>0.45588530164005403</v>
      </c>
      <c r="I1131" s="4">
        <f t="shared" si="740"/>
        <v>0.46495275247810319</v>
      </c>
      <c r="J1131" s="4">
        <f t="shared" si="740"/>
        <v>0.47704986634511171</v>
      </c>
      <c r="K1131" s="4">
        <f t="shared" si="740"/>
        <v>0.48784840910257216</v>
      </c>
    </row>
    <row r="1132" spans="2:11" x14ac:dyDescent="0.25">
      <c r="B1132" s="5" t="str">
        <f t="shared" si="703"/>
        <v>SPS4</v>
      </c>
      <c r="C1132" s="5" t="str">
        <f t="shared" si="726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03"/>
        <v>SPS4</v>
      </c>
      <c r="C1133" s="5" t="str">
        <f t="shared" si="726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41">IFERROR(G1104/G1039,"-")</f>
        <v>-</v>
      </c>
      <c r="H1133" s="4" t="str">
        <f t="shared" si="741"/>
        <v>-</v>
      </c>
      <c r="I1133" s="4" t="str">
        <f t="shared" si="741"/>
        <v>-</v>
      </c>
      <c r="J1133" s="4" t="str">
        <f t="shared" si="741"/>
        <v>-</v>
      </c>
      <c r="K1133" s="4" t="str">
        <f t="shared" si="741"/>
        <v>-</v>
      </c>
    </row>
    <row r="1134" spans="2:11" x14ac:dyDescent="0.25">
      <c r="B1134" s="9" t="str">
        <f t="shared" si="703"/>
        <v>SPS4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42">F1135+F1150+F1155+F1178+F1201</f>
        <v>139.37918109522823</v>
      </c>
      <c r="G1134" s="3">
        <f t="shared" si="742"/>
        <v>139.85889003198457</v>
      </c>
      <c r="H1134" s="3">
        <f t="shared" si="742"/>
        <v>123.14263503661637</v>
      </c>
      <c r="I1134" s="3">
        <f t="shared" si="742"/>
        <v>102.41127535251034</v>
      </c>
      <c r="J1134" s="3">
        <f t="shared" si="742"/>
        <v>77.159230575844731</v>
      </c>
      <c r="K1134" s="3">
        <f t="shared" si="742"/>
        <v>63.270426976750784</v>
      </c>
    </row>
    <row r="1135" spans="2:11" x14ac:dyDescent="0.25">
      <c r="B1135" s="5" t="str">
        <f t="shared" si="703"/>
        <v>SPS4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0.73740871530919039</v>
      </c>
      <c r="G1135" s="1">
        <f t="shared" ref="G1135:K1135" si="743">SUM(G1136:G1149)</f>
        <v>1.6116520358334783</v>
      </c>
      <c r="H1135" s="1">
        <f t="shared" si="743"/>
        <v>3.92128257760668</v>
      </c>
      <c r="I1135" s="1">
        <f t="shared" si="743"/>
        <v>11.51321854988233</v>
      </c>
      <c r="J1135" s="1">
        <f t="shared" si="743"/>
        <v>22.158674865452845</v>
      </c>
      <c r="K1135" s="1">
        <f t="shared" si="743"/>
        <v>24.167068836793781</v>
      </c>
    </row>
    <row r="1136" spans="2:11" x14ac:dyDescent="0.25">
      <c r="B1136" s="5" t="str">
        <f t="shared" si="703"/>
        <v>SPS4</v>
      </c>
      <c r="C1136" s="5" t="str">
        <f t="shared" ref="C1136:C1215" si="744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0.46789263428997629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0.37693278565187871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0.26223030317733809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0.11309571404972353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03"/>
        <v>SPS4</v>
      </c>
      <c r="C1137" s="5" t="str">
        <f t="shared" si="744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7.6210361632777432E-3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0.18339583322202971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0.12304715236653145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9.9333461354131278E-2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0.23837734360094689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0.87418736374680983</v>
      </c>
    </row>
    <row r="1138" spans="2:11" x14ac:dyDescent="0.25">
      <c r="B1138" s="5" t="str">
        <f t="shared" si="703"/>
        <v>SPS4</v>
      </c>
      <c r="C1138" s="5" t="str">
        <f t="shared" si="744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6.616106353836021E-2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0.10246843342029455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1.4076336411379498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6.3254181752019543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11.106025570366706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9.1811974254097279</v>
      </c>
    </row>
    <row r="1139" spans="2:11" x14ac:dyDescent="0.25">
      <c r="B1139" s="5" t="str">
        <f t="shared" si="703"/>
        <v>SPS4</v>
      </c>
      <c r="C1139" s="5" t="str">
        <f t="shared" si="744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4.5853655204512053E-2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6.9801097389147068E-2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9.0293584090576015E-2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2.2754175985973988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4.3203047736901476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3.1701360534805634</v>
      </c>
    </row>
    <row r="1140" spans="2:11" x14ac:dyDescent="0.25">
      <c r="B1140" s="5" t="str">
        <f t="shared" ref="B1140:B1203" si="745">B1139</f>
        <v>SPS4</v>
      </c>
      <c r="C1140" s="5" t="str">
        <f t="shared" si="744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0.14933862880240398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0.78110565940225651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1.7370486229818047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1.4867560401816844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3.4573036704136646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5.5096873194529357</v>
      </c>
    </row>
    <row r="1141" spans="2:11" x14ac:dyDescent="0.25">
      <c r="B1141" s="5" t="str">
        <f t="shared" si="745"/>
        <v>SPS4</v>
      </c>
      <c r="C1141" s="5" t="str">
        <f t="shared" si="744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7.0693644595910268E-5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7.2252726347499601E-5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1.036679642476439E-4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7.2363980826739379E-5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6.3867661968877517E-5</v>
      </c>
    </row>
    <row r="1142" spans="2:11" x14ac:dyDescent="0.25">
      <c r="B1142" s="5" t="str">
        <f t="shared" si="745"/>
        <v>SPS4</v>
      </c>
      <c r="C1142" s="5" t="str">
        <f t="shared" si="744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5.4169731066015781E-4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7.9563485714502172E-3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1.1347526256642194E-3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3.8460131164340353E-3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3.2741623731318302E-4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2.4898273806117952E-4</v>
      </c>
    </row>
    <row r="1143" spans="2:11" x14ac:dyDescent="0.25">
      <c r="B1143" s="5" t="str">
        <f t="shared" si="745"/>
        <v>SPS4</v>
      </c>
      <c r="C1143" s="5" t="str">
        <f t="shared" si="744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1.7611839536727032E-2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0.15117525892674608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0.20666085075964249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6.7771468251372424E-2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0.41592895313844447</v>
      </c>
    </row>
    <row r="1144" spans="2:11" x14ac:dyDescent="0.25">
      <c r="B1144" s="5" t="str">
        <f t="shared" si="745"/>
        <v>SPS4</v>
      </c>
      <c r="C1144" s="5" t="str">
        <f t="shared" si="744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1.7645146220208508E-2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2.0549932517231858E-2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2.4774881110618645E-2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5.2126741831788907E-4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4.1858362031898871E-4</v>
      </c>
    </row>
    <row r="1145" spans="2:11" x14ac:dyDescent="0.25">
      <c r="B1145" s="5" t="str">
        <f t="shared" si="745"/>
        <v>SPS4</v>
      </c>
      <c r="C1145" s="5" t="str">
        <f t="shared" ref="C1145:C1149" si="746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1.0771749261713853E-4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1.0036421609966491E-4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1.4154657042727737E-4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7.1962656564735129E-5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6.2827602121404291E-5</v>
      </c>
    </row>
    <row r="1146" spans="2:11" x14ac:dyDescent="0.25">
      <c r="B1146" s="5" t="str">
        <f t="shared" si="745"/>
        <v>SPS4</v>
      </c>
      <c r="C1146" s="5" t="str">
        <f t="shared" si="746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3.0750600271369817E-5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1.0419231785434088E-4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1.5353880993570213E-4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3.5856847606153202E-4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2.3268590640454647E-4</v>
      </c>
    </row>
    <row r="1147" spans="2:11" x14ac:dyDescent="0.25">
      <c r="B1147" s="5" t="str">
        <f t="shared" si="745"/>
        <v>SPS4</v>
      </c>
      <c r="C1147" s="5" t="str">
        <f t="shared" si="746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1.2264284628397097E-2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7.9552515152502806E-2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0.90471861762886219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2.9054006469860778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2.9412780194991721</v>
      </c>
    </row>
    <row r="1148" spans="2:11" x14ac:dyDescent="0.25">
      <c r="B1148" s="5" t="str">
        <f t="shared" si="745"/>
        <v>SPS4</v>
      </c>
      <c r="C1148" s="5" t="str">
        <f t="shared" si="746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4.2261446053604233E-2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4.8340005370032482E-2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4.6253699532683108E-2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5.4511063147785321E-4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4.1727036626955382E-4</v>
      </c>
    </row>
    <row r="1149" spans="2:11" x14ac:dyDescent="0.25">
      <c r="B1149" s="5" t="str">
        <f t="shared" si="745"/>
        <v>SPS4</v>
      </c>
      <c r="C1149" s="5" t="str">
        <f t="shared" si="746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2.6544745004587107E-2</v>
      </c>
      <c r="J1149" s="1">
        <f>[1]Transport!F$32</f>
        <v>6.1594702743367327E-2</v>
      </c>
      <c r="K1149" s="1">
        <f>[1]Transport!G$32</f>
        <v>2.0732094841709832</v>
      </c>
    </row>
    <row r="1150" spans="2:11" x14ac:dyDescent="0.25">
      <c r="B1150" s="5" t="str">
        <f t="shared" si="745"/>
        <v>SPS4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8.5137948674819598E-4</v>
      </c>
      <c r="G1150" s="1">
        <f t="shared" ref="G1150:K1150" si="747">SUM(G1151:G1154)</f>
        <v>2.0795813955149967E-3</v>
      </c>
      <c r="H1150" s="1">
        <f t="shared" si="747"/>
        <v>2.1313404294688349E-3</v>
      </c>
      <c r="I1150" s="1">
        <f t="shared" si="747"/>
        <v>2.0201500479821739E-3</v>
      </c>
      <c r="J1150" s="1">
        <f t="shared" si="747"/>
        <v>1.6462777955283244E-3</v>
      </c>
      <c r="K1150" s="1">
        <f t="shared" si="747"/>
        <v>1.9455463317737975E-3</v>
      </c>
    </row>
    <row r="1151" spans="2:11" x14ac:dyDescent="0.25">
      <c r="B1151" s="5" t="str">
        <f t="shared" si="745"/>
        <v>SPS4</v>
      </c>
      <c r="C1151" s="5" t="str">
        <f t="shared" si="744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2.5074333784657443E-5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6.2454689802681306E-5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8.6168461897243997E-5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4.5996995189079E-4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2.0915661765291268E-4</v>
      </c>
    </row>
    <row r="1152" spans="2:11" x14ac:dyDescent="0.25">
      <c r="B1152" s="5" t="str">
        <f t="shared" si="745"/>
        <v>SPS4</v>
      </c>
      <c r="C1152" s="5" t="str">
        <f t="shared" si="744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8.1009135065163545E-5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1.1993877221223506E-4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1.6439045969299869E-4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1.983947938643935E-4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2.7142682599892926E-4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1.5016671880212811E-4</v>
      </c>
    </row>
    <row r="1153" spans="2:11" x14ac:dyDescent="0.25">
      <c r="B1153" s="5" t="str">
        <f t="shared" si="745"/>
        <v>SPS4</v>
      </c>
      <c r="C1153" s="5" t="str">
        <f t="shared" si="744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7.7037035168303245E-4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1.9015324361357974E-3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1.8185493192773377E-3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1.6011665771743051E-3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2.5620888494581407E-4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1.7197066319186598E-4</v>
      </c>
    </row>
    <row r="1154" spans="2:11" x14ac:dyDescent="0.25">
      <c r="B1154" s="5" t="str">
        <f t="shared" si="745"/>
        <v>SPS4</v>
      </c>
      <c r="C1154" s="5" t="str">
        <f t="shared" si="744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3.3035853382307106E-5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8.5945960695817255E-5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1.3442021504623129E-4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6.5867213269279112E-4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1.4142523321268908E-3</v>
      </c>
    </row>
    <row r="1155" spans="2:11" x14ac:dyDescent="0.25">
      <c r="B1155" s="5" t="str">
        <f t="shared" si="745"/>
        <v>SPS4</v>
      </c>
      <c r="C1155" s="5" t="str">
        <f t="shared" si="744"/>
        <v>CH</v>
      </c>
      <c r="D1155" t="s">
        <v>1258</v>
      </c>
      <c r="E1155" t="s">
        <v>8</v>
      </c>
      <c r="F1155" s="1">
        <f>SUM(F1160:F1177)</f>
        <v>77.525547152164108</v>
      </c>
      <c r="G1155" s="1">
        <f t="shared" ref="G1155:K1155" si="748">SUM(G1160:G1177)</f>
        <v>79.058817145904101</v>
      </c>
      <c r="H1155" s="1">
        <f t="shared" si="748"/>
        <v>72.236876446825022</v>
      </c>
      <c r="I1155" s="1">
        <f t="shared" si="748"/>
        <v>58.611722006672174</v>
      </c>
      <c r="J1155" s="1">
        <f t="shared" si="748"/>
        <v>39.664338493184722</v>
      </c>
      <c r="K1155" s="1">
        <f t="shared" si="748"/>
        <v>28.782949693692085</v>
      </c>
    </row>
    <row r="1156" spans="2:11" x14ac:dyDescent="0.25">
      <c r="B1156" s="5" t="str">
        <f t="shared" si="745"/>
        <v>SPS4</v>
      </c>
      <c r="C1156" s="5" t="str">
        <f t="shared" si="744"/>
        <v>CH</v>
      </c>
      <c r="D1156" t="s">
        <v>1259</v>
      </c>
      <c r="E1156" t="str">
        <f>E1155</f>
        <v>PJ/yr.</v>
      </c>
      <c r="F1156" s="1">
        <f>F1155-F1157</f>
        <v>73.281770199454797</v>
      </c>
      <c r="G1156" s="1">
        <f t="shared" ref="G1156:K1156" si="749">G1155-G1157</f>
        <v>74.731088466226808</v>
      </c>
      <c r="H1156" s="1">
        <f t="shared" si="749"/>
        <v>68.282339591368526</v>
      </c>
      <c r="I1156" s="1">
        <f t="shared" si="749"/>
        <v>55.403238375487788</v>
      </c>
      <c r="J1156" s="1">
        <f t="shared" si="749"/>
        <v>37.492939671574007</v>
      </c>
      <c r="K1156" s="1">
        <f t="shared" si="749"/>
        <v>27.207190315026629</v>
      </c>
    </row>
    <row r="1157" spans="2:11" x14ac:dyDescent="0.25">
      <c r="B1157" s="5" t="str">
        <f t="shared" si="745"/>
        <v>SPS4</v>
      </c>
      <c r="C1157" s="5" t="str">
        <f t="shared" si="744"/>
        <v>CH</v>
      </c>
      <c r="D1157" t="s">
        <v>1260</v>
      </c>
      <c r="E1157" t="str">
        <f>E1156</f>
        <v>PJ/yr.</v>
      </c>
      <c r="F1157" s="1">
        <f>SUM(F1158:F1159)</f>
        <v>4.2437769527093128</v>
      </c>
      <c r="G1157" s="1">
        <f t="shared" ref="G1157" si="750">SUM(G1158:G1159)</f>
        <v>4.3277286796772936</v>
      </c>
      <c r="H1157" s="1">
        <f t="shared" ref="H1157" si="751">SUM(H1158:H1159)</f>
        <v>3.9545368554564924</v>
      </c>
      <c r="I1157" s="1">
        <f t="shared" ref="I1157" si="752">SUM(I1158:I1159)</f>
        <v>3.2084836311843894</v>
      </c>
      <c r="J1157" s="1">
        <f t="shared" ref="J1157" si="753">SUM(J1158:J1159)</f>
        <v>2.1713988216107145</v>
      </c>
      <c r="K1157" s="1">
        <f t="shared" ref="K1157" si="754">SUM(K1158:K1159)</f>
        <v>1.5757593786654576</v>
      </c>
    </row>
    <row r="1158" spans="2:11" x14ac:dyDescent="0.25">
      <c r="B1158" s="5" t="str">
        <f t="shared" si="745"/>
        <v>SPS4</v>
      </c>
      <c r="C1158" s="5" t="str">
        <f t="shared" si="744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4.2437769527093128</v>
      </c>
      <c r="G1158" s="1">
        <f>[1]Transport!C$25/SUM([1]Transport!C$21,[1]Transport!C$25)*G1155*(G$34+G$598)/(G$34+G$598+G$37)</f>
        <v>4.3277286796772936</v>
      </c>
      <c r="H1158" s="1">
        <f>[1]Transport!D$25/SUM([1]Transport!D$21,[1]Transport!D$25)*H1155*(H$34+H$598)/(H$34+H$598+H$37)</f>
        <v>3.9545368554564924</v>
      </c>
      <c r="I1158" s="1">
        <f>[1]Transport!E$25/SUM([1]Transport!E$21,[1]Transport!E$25)*I1155*(I$34+I$598)/(I$34+I$598+I$37)</f>
        <v>3.2084836311843894</v>
      </c>
      <c r="J1158" s="1">
        <f>[1]Transport!F$25/SUM([1]Transport!F$21,[1]Transport!F$25)*J1155*(J$34+J$598)/(J$34+J$598+J$37)</f>
        <v>2.1713988216107145</v>
      </c>
      <c r="K1158" s="1">
        <f>[1]Transport!G$25/SUM([1]Transport!G$21,[1]Transport!G$25)*K1155*(K$34+K$598)/(K$34+K$598+K$37)</f>
        <v>1.5757593786654576</v>
      </c>
    </row>
    <row r="1159" spans="2:11" x14ac:dyDescent="0.25">
      <c r="B1159" s="5" t="str">
        <f t="shared" si="745"/>
        <v>SPS4</v>
      </c>
      <c r="C1159" s="5" t="str">
        <f t="shared" si="744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</v>
      </c>
      <c r="K1159" s="1">
        <f>(K$37+K$717)/([1]Transport!G$21+[1]Transport!G$25)*K1155</f>
        <v>0</v>
      </c>
    </row>
    <row r="1160" spans="2:11" x14ac:dyDescent="0.25">
      <c r="B1160" s="5" t="str">
        <f t="shared" si="745"/>
        <v>SPS4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1.254060897108233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1.2428799804444777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0.92518144167884697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0.43896656053695365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45"/>
        <v>SPS4</v>
      </c>
      <c r="C1161" s="5" t="str">
        <f t="shared" si="744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4.6094922443030345E-2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5.3144382844208894E-2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3.733322891491922E-2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2.8729123322266788E-2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0.82772761968365005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0.33535935020802726</v>
      </c>
    </row>
    <row r="1162" spans="2:11" x14ac:dyDescent="0.25">
      <c r="B1162" s="5" t="str">
        <f t="shared" si="745"/>
        <v>SPS4</v>
      </c>
      <c r="C1162" s="5" t="str">
        <f t="shared" si="744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0.13555152197876075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0.20492499658338573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0.29619338594135936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0.23915684499780096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0.7677358499295861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1.1817802634081942</v>
      </c>
    </row>
    <row r="1163" spans="2:11" x14ac:dyDescent="0.25">
      <c r="B1163" s="5" t="str">
        <f t="shared" si="745"/>
        <v>SPS4</v>
      </c>
      <c r="C1163" s="5" t="str">
        <f t="shared" si="744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0.10139720824302294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1.4357595210086669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1.3572026666750565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1.0860608269117604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6.8641145087778557E-4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4.2595550437292759E-4</v>
      </c>
    </row>
    <row r="1164" spans="2:11" x14ac:dyDescent="0.25">
      <c r="B1164" s="5" t="str">
        <f t="shared" si="745"/>
        <v>SPS4</v>
      </c>
      <c r="C1164" s="5" t="str">
        <f t="shared" si="744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9.0723174001897555E-2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0.13540187263652148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0.13024287831355391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0.1079123933597774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8.7914513473880097E-4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1.328463151058182E-3</v>
      </c>
    </row>
    <row r="1165" spans="2:11" x14ac:dyDescent="0.25">
      <c r="B1165" s="5" t="str">
        <f t="shared" si="745"/>
        <v>SPS4</v>
      </c>
      <c r="C1165" s="5" t="str">
        <f t="shared" si="744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63.987646220632186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58.487250065063911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40.879901838235249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11.013819902402735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45"/>
        <v>SPS4</v>
      </c>
      <c r="C1166" s="5" t="str">
        <f t="shared" si="744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0.48384560391274378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0.55039322759380482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0.38548980511245129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0.29267913784357413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8.7108743205189859E-4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1.8901774044079636E-4</v>
      </c>
    </row>
    <row r="1167" spans="2:11" x14ac:dyDescent="0.25">
      <c r="B1167" s="5" t="str">
        <f t="shared" si="745"/>
        <v>SPS4</v>
      </c>
      <c r="C1167" s="5" t="str">
        <f t="shared" si="744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3.6938230427816681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5.3066748949731073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5.2441656025260235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4.1129858083130495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2.6365067469802917E-3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4.9387093988819124E-4</v>
      </c>
    </row>
    <row r="1168" spans="2:11" x14ac:dyDescent="0.25">
      <c r="B1168" s="5" t="str">
        <f t="shared" si="745"/>
        <v>SPS4</v>
      </c>
      <c r="C1168" s="5" t="str">
        <f t="shared" si="744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3.6184345891091136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5.739938608455077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7.0556717553996515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5.7896728301313996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0.12237214698142709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9.5639267359836494E-4</v>
      </c>
    </row>
    <row r="1169" spans="2:18" x14ac:dyDescent="0.25">
      <c r="B1169" s="5" t="str">
        <f t="shared" si="745"/>
        <v>SPS4</v>
      </c>
      <c r="C1169" s="5" t="str">
        <f t="shared" si="744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3.7740326975851661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5.2506261585563285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13.246901785646152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29.260204468768805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33.284513980319446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22.626660288363574</v>
      </c>
    </row>
    <row r="1170" spans="2:18" x14ac:dyDescent="0.25">
      <c r="B1170" s="5" t="str">
        <f t="shared" si="745"/>
        <v>SPS4</v>
      </c>
      <c r="C1170" s="5" t="str">
        <f t="shared" si="744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7.580563400625556E-5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0.63439183161947954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0.55905627695038529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5.4757963670392727E-2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2.2876538787224381E-4</v>
      </c>
    </row>
    <row r="1171" spans="2:18" x14ac:dyDescent="0.25">
      <c r="B1171" s="5" t="str">
        <f t="shared" si="745"/>
        <v>SPS4</v>
      </c>
      <c r="C1171" s="5" t="str">
        <f t="shared" si="744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7.4389931935892967E-5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1.1642074064585066E-3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2.8891917940623616E-3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1.7799060047439892E-3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4.0772703837365504E-4</v>
      </c>
    </row>
    <row r="1172" spans="2:18" x14ac:dyDescent="0.25">
      <c r="B1172" s="5" t="str">
        <f t="shared" si="745"/>
        <v>SPS4</v>
      </c>
      <c r="C1172" s="5" t="str">
        <f t="shared" si="744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8.1594288860369386E-5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1.1105573409670349E-3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2.6913379650936996E-3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1.9666002574059353E-3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5.7197551826245027E-4</v>
      </c>
    </row>
    <row r="1173" spans="2:18" x14ac:dyDescent="0.25">
      <c r="B1173" s="5" t="str">
        <f t="shared" si="745"/>
        <v>SPS4</v>
      </c>
      <c r="C1173" s="5" t="str">
        <f t="shared" si="744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1.0071212239632752E-4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2.2740420006553907E-3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4.1089147989448263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4.327084879302344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3.7743344866823629</v>
      </c>
    </row>
    <row r="1174" spans="2:18" x14ac:dyDescent="0.25">
      <c r="B1174" s="5" t="str">
        <f t="shared" si="745"/>
        <v>SPS4</v>
      </c>
      <c r="C1174" s="5" t="str">
        <f t="shared" si="744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2.9810493400963297E-4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1.5859141075591397E-3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1.2909072899951056E-3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1.0549810801489632E-3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3.5979298132966239E-4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1.7172102784923518E-4</v>
      </c>
    </row>
    <row r="1175" spans="2:18" x14ac:dyDescent="0.25">
      <c r="B1175" s="5" t="str">
        <f t="shared" si="745"/>
        <v>SPS4</v>
      </c>
      <c r="C1175" s="5" t="str">
        <f t="shared" si="744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8.1718086325836978E-2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0.14797484718513346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0.15997212994261453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0.12351571233991429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1.5518872486948495E-3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6.473383750440966E-4</v>
      </c>
    </row>
    <row r="1176" spans="2:18" x14ac:dyDescent="0.25">
      <c r="B1176" s="5" t="str">
        <f t="shared" si="745"/>
        <v>SPS4</v>
      </c>
      <c r="C1176" s="5" t="str">
        <f t="shared" si="744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8.4363456085474589E-2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0.23995410409883597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1.635574953187368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1.2695702851760766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0.26730177731466759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0.85851786213837888</v>
      </c>
    </row>
    <row r="1177" spans="2:18" x14ac:dyDescent="0.25">
      <c r="B1177" s="5" t="str">
        <f t="shared" si="745"/>
        <v>SPS4</v>
      </c>
      <c r="C1177" s="5" t="str">
        <f t="shared" si="744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0.1735576270229687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0.2619760703758589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0.24281342959421054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0.17384152583353807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2.1129387263905579E-3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8.7621553478353913E-4</v>
      </c>
    </row>
    <row r="1178" spans="2:18" x14ac:dyDescent="0.25">
      <c r="B1178" s="5" t="str">
        <f t="shared" si="745"/>
        <v>SPS4</v>
      </c>
      <c r="C1178" s="5" t="str">
        <f t="shared" si="744"/>
        <v>CH</v>
      </c>
      <c r="D1178" t="s">
        <v>1281</v>
      </c>
      <c r="E1178" t="s">
        <v>8</v>
      </c>
      <c r="F1178" s="1">
        <f>SUM(F1183:F1200)</f>
        <v>61.026742271258833</v>
      </c>
      <c r="G1178" s="1">
        <f t="shared" ref="G1178:K1178" si="755">SUM(G1183:G1200)</f>
        <v>59.111264954750759</v>
      </c>
      <c r="H1178" s="1">
        <f t="shared" si="755"/>
        <v>46.911232334755738</v>
      </c>
      <c r="I1178" s="1">
        <f t="shared" si="755"/>
        <v>32.28350068571843</v>
      </c>
      <c r="J1178" s="1">
        <f t="shared" si="755"/>
        <v>15.333808137894401</v>
      </c>
      <c r="K1178" s="1">
        <f t="shared" si="755"/>
        <v>10.317796880561309</v>
      </c>
    </row>
    <row r="1179" spans="2:18" x14ac:dyDescent="0.25">
      <c r="B1179" s="5" t="str">
        <f t="shared" si="745"/>
        <v>SPS4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59.518781416052427</v>
      </c>
      <c r="G1179" s="1">
        <f t="shared" ref="G1179:K1179" si="756">G1178-G1180</f>
        <v>57.511298712366596</v>
      </c>
      <c r="H1179" s="1">
        <f t="shared" si="756"/>
        <v>45.349883298000258</v>
      </c>
      <c r="I1179" s="1">
        <f t="shared" si="756"/>
        <v>31.047364780052177</v>
      </c>
      <c r="J1179" s="1">
        <f t="shared" si="756"/>
        <v>14.905766015171785</v>
      </c>
      <c r="K1179" s="1">
        <f t="shared" si="756"/>
        <v>10.046694811100243</v>
      </c>
    </row>
    <row r="1180" spans="2:18" x14ac:dyDescent="0.25">
      <c r="B1180" s="5" t="str">
        <f t="shared" si="745"/>
        <v>SPS4</v>
      </c>
      <c r="C1180" s="5" t="str">
        <f t="shared" ref="C1180:C1182" si="757">C1179</f>
        <v>CH</v>
      </c>
      <c r="D1180" t="s">
        <v>1283</v>
      </c>
      <c r="E1180" t="str">
        <f t="shared" ref="E1180:E1182" si="758">E1179</f>
        <v>PJ/yr.</v>
      </c>
      <c r="F1180" s="1">
        <f>SUM(F1181:F1182)</f>
        <v>1.5079608552064081</v>
      </c>
      <c r="G1180" s="1">
        <f t="shared" ref="G1180" si="759">SUM(G1181:G1182)</f>
        <v>1.5999662423841658</v>
      </c>
      <c r="H1180" s="1">
        <f t="shared" ref="H1180" si="760">SUM(H1181:H1182)</f>
        <v>1.5613490367554772</v>
      </c>
      <c r="I1180" s="1">
        <f t="shared" ref="I1180" si="761">SUM(I1181:I1182)</f>
        <v>1.2361359056662533</v>
      </c>
      <c r="J1180" s="1">
        <f t="shared" ref="J1180" si="762">SUM(J1181:J1182)</f>
        <v>0.42804212272261544</v>
      </c>
      <c r="K1180" s="1">
        <f t="shared" ref="K1180" si="763">SUM(K1181:K1182)</f>
        <v>0.2711020694610648</v>
      </c>
    </row>
    <row r="1181" spans="2:18" x14ac:dyDescent="0.25">
      <c r="B1181" s="5" t="str">
        <f t="shared" si="745"/>
        <v>SPS4</v>
      </c>
      <c r="C1181" s="5" t="str">
        <f t="shared" si="757"/>
        <v>CH</v>
      </c>
      <c r="D1181" t="s">
        <v>1284</v>
      </c>
      <c r="E1181" t="str">
        <f t="shared" si="758"/>
        <v>PJ/yr.</v>
      </c>
      <c r="F1181" s="1">
        <f>[1]Transport!B$26/SUM([1]Transport!B$22,[1]Transport!B$26)*F1178*(F$33+F$580)/(F$33+F$580+F$36)</f>
        <v>1.5079608552064081</v>
      </c>
      <c r="G1181" s="1">
        <f>[1]Transport!C$26/SUM([1]Transport!C$22,[1]Transport!C$26)*G1178*(G$33+G$580)/(G$33+G$580+G$36)</f>
        <v>1.5999662423841658</v>
      </c>
      <c r="H1181" s="1">
        <f>[1]Transport!D$26/SUM([1]Transport!D$22,[1]Transport!D$26)*H1178*(H$33+H$580)/(H$33+H$580+H$36)</f>
        <v>1.5613490367554772</v>
      </c>
      <c r="I1181" s="1">
        <f>[1]Transport!E$26/SUM([1]Transport!E$22,[1]Transport!E$26)*I1178*(I$33+I$580)/(I$33+I$580+I$36)</f>
        <v>1.2361359056662533</v>
      </c>
      <c r="J1181" s="1">
        <f>[1]Transport!F$26/SUM([1]Transport!F$22,[1]Transport!F$26)*J1178*(J$33+J$580)/(J$33+J$580+J$36)</f>
        <v>0.31109116203208736</v>
      </c>
      <c r="K1181" s="1">
        <f>[1]Transport!G$26/SUM([1]Transport!G$22,[1]Transport!G$26)*K1178*(K$33+K$580)/(K$33+K$580+K$36)</f>
        <v>0.27109021987563009</v>
      </c>
    </row>
    <row r="1182" spans="2:18" x14ac:dyDescent="0.25">
      <c r="B1182" s="5" t="str">
        <f t="shared" si="745"/>
        <v>SPS4</v>
      </c>
      <c r="C1182" s="5" t="str">
        <f t="shared" si="757"/>
        <v>CH</v>
      </c>
      <c r="D1182" t="s">
        <v>1285</v>
      </c>
      <c r="E1182" t="str">
        <f t="shared" si="758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0.11695096069052804</v>
      </c>
      <c r="K1182" s="1">
        <f>(K$36+K$716)/([1]Transport!G$22+[1]Transport!G$26)*K1178</f>
        <v>1.1849585434734269E-5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 t="shared" si="745"/>
        <v>SPS4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45"/>
        <v>SPS4</v>
      </c>
      <c r="C1184" s="5" t="str">
        <f t="shared" si="744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3.1399249430835343E-5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1.5905867005406015E-4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5.7132507804462916E-4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6.6658002956664487E-4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0.73404552881327989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0.24379168546659058</v>
      </c>
      <c r="R1184" s="1"/>
    </row>
    <row r="1185" spans="2:11" x14ac:dyDescent="0.25">
      <c r="B1185" s="5" t="str">
        <f t="shared" si="745"/>
        <v>SPS4</v>
      </c>
      <c r="C1185" s="5" t="str">
        <f t="shared" si="744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2.8569693150960877E-3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0.68046217623272032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1.166630857665415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0.97737894814747983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0.48787328363495874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1.4831843217386953</v>
      </c>
    </row>
    <row r="1186" spans="2:11" x14ac:dyDescent="0.25">
      <c r="B1186" s="5" t="str">
        <f t="shared" si="745"/>
        <v>SPS4</v>
      </c>
      <c r="C1186" s="5" t="str">
        <f t="shared" si="744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2.9734390733519609E-2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4.5274746735418057E-2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4.3353401874942507E-2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3.262153247051252E-2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6.9031239189644487E-4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4.27417977918948E-4</v>
      </c>
    </row>
    <row r="1187" spans="2:11" x14ac:dyDescent="0.25">
      <c r="B1187" s="5" t="str">
        <f t="shared" si="745"/>
        <v>SPS4</v>
      </c>
      <c r="C1187" s="5" t="str">
        <f t="shared" si="744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3.5402912303933269E-2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7.1213302699395534E-2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6.7527004132172622E-2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5.5521540099783884E-2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8.820429909656511E-4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1.3590954244372679E-3</v>
      </c>
    </row>
    <row r="1188" spans="2:11" x14ac:dyDescent="0.25">
      <c r="B1188" s="5" t="str">
        <f t="shared" si="745"/>
        <v>SPS4</v>
      </c>
      <c r="C1188" s="5" t="str">
        <f t="shared" si="744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52.740494848934766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48.700921523098529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35.237481458123256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16.032033766387226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45"/>
        <v>SPS4</v>
      </c>
      <c r="C1189" s="5" t="str">
        <f t="shared" si="744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5.2767038725542535E-3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5.8660453362610445E-3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4.4806038131441324E-3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3.2769568699406362E-3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3.4347373399669975E-4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1.1957266766713288E-4</v>
      </c>
    </row>
    <row r="1190" spans="2:11" x14ac:dyDescent="0.25">
      <c r="B1190" s="5" t="str">
        <f t="shared" si="745"/>
        <v>SPS4</v>
      </c>
      <c r="C1190" s="5" t="str">
        <f t="shared" si="744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1.2219768166181764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1.2830540458672495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1.1115989346375268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0.92507508311868591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6.5029963373903251E-4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2.2808736041700665E-4</v>
      </c>
    </row>
    <row r="1191" spans="2:11" x14ac:dyDescent="0.25">
      <c r="B1191" s="5" t="str">
        <f t="shared" si="745"/>
        <v>SPS4</v>
      </c>
      <c r="C1191" s="5" t="str">
        <f t="shared" si="744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5.0453453333044083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5.326752507240851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5.2758596499208377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4.0295028515690952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7.8379113313406621E-4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3.1493358319038242E-4</v>
      </c>
    </row>
    <row r="1192" spans="2:11" x14ac:dyDescent="0.25">
      <c r="B1192" s="5" t="str">
        <f t="shared" si="745"/>
        <v>SPS4</v>
      </c>
      <c r="C1192" s="5" t="str">
        <f t="shared" si="744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1.9396263204788278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2.2108215131166622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2.1730036479578514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1.6737514333575956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4.3546277123329762E-4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2.0206325035906811E-4</v>
      </c>
    </row>
    <row r="1193" spans="2:11" x14ac:dyDescent="0.25">
      <c r="B1193" s="5" t="str">
        <f t="shared" si="745"/>
        <v>SPS4</v>
      </c>
      <c r="C1193" s="5" t="str">
        <f t="shared" si="744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7.5828119704021075E-5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0.41333580382525231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1.8055153841325298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0.6191901015698611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6.1557513764662754E-4</v>
      </c>
    </row>
    <row r="1194" spans="2:11" x14ac:dyDescent="0.25">
      <c r="B1194" s="5" t="str">
        <f t="shared" si="745"/>
        <v>SPS4</v>
      </c>
      <c r="C1194" s="5" t="str">
        <f t="shared" si="744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7.470979432467024E-5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1.0610469343534199E-3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5.318599170937903E-2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2.2376010502463801E-2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8.4799174658970269E-4</v>
      </c>
    </row>
    <row r="1195" spans="2:11" x14ac:dyDescent="0.25">
      <c r="B1195" s="5" t="str">
        <f t="shared" si="745"/>
        <v>SPS4</v>
      </c>
      <c r="C1195" s="5" t="str">
        <f t="shared" si="744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8.0767177757020984E-5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9.98525031365488E-4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0.77910845774050741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2.1367035729295876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2.5865711203248609</v>
      </c>
    </row>
    <row r="1196" spans="2:11" x14ac:dyDescent="0.25">
      <c r="B1196" s="5" t="str">
        <f t="shared" si="745"/>
        <v>SPS4</v>
      </c>
      <c r="C1196" s="5" t="str">
        <f t="shared" si="744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7.4343162945590522E-5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3.9428960715569847E-4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7.0128002207135492E-4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8.7757334542938332E-4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4.8007781446482336E-4</v>
      </c>
    </row>
    <row r="1197" spans="2:11" x14ac:dyDescent="0.25">
      <c r="B1197" s="5" t="str">
        <f t="shared" si="745"/>
        <v>SPS4</v>
      </c>
      <c r="C1197" s="5" t="str">
        <f t="shared" si="744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1.7187896492608166E-5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2.3686031882218317E-3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1.757646895303976E-3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1.4119187702554222E-3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3.5456341335987987E-4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1.7398193310490861E-4</v>
      </c>
    </row>
    <row r="1198" spans="2:11" x14ac:dyDescent="0.25">
      <c r="B1198" s="5" t="str">
        <f t="shared" si="745"/>
        <v>SPS4</v>
      </c>
      <c r="C1198" s="5" t="str">
        <f t="shared" si="744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9.1233473563773335E-6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5.6645450586588649E-4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1.6814719762887705E-3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2.2832719658325649E-3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1.708156611532104E-3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7.336560996042083E-4</v>
      </c>
    </row>
    <row r="1199" spans="2:11" x14ac:dyDescent="0.25">
      <c r="B1199" s="5" t="str">
        <f t="shared" si="745"/>
        <v>SPS4</v>
      </c>
      <c r="C1199" s="5" t="str">
        <f t="shared" si="744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1.0140084886221363E-4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0.16466906277176913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0.84817819577326981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5.4771199613502812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11.324686566226497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5.9978346080327816</v>
      </c>
    </row>
    <row r="1200" spans="2:11" x14ac:dyDescent="0.25">
      <c r="B1200" s="5" t="str">
        <f t="shared" si="745"/>
        <v>SPS4</v>
      </c>
      <c r="C1200" s="5" t="str">
        <f t="shared" si="744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5.8688643554108619E-3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0.61883026703301558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0.5633184715095535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0.43434572797769355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2.2073981924657809E-3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9.126920029813066E-4</v>
      </c>
    </row>
    <row r="1201" spans="2:11" x14ac:dyDescent="0.25">
      <c r="B1201" s="5" t="str">
        <f t="shared" si="745"/>
        <v>SPS4</v>
      </c>
      <c r="C1201" s="5" t="str">
        <f t="shared" si="744"/>
        <v>CH</v>
      </c>
      <c r="D1201" t="s">
        <v>1304</v>
      </c>
      <c r="E1201" t="s">
        <v>8</v>
      </c>
      <c r="F1201" s="1">
        <f>SUM(F1206:F1210)</f>
        <v>8.8631577009343404E-2</v>
      </c>
      <c r="G1201" s="1">
        <f t="shared" ref="G1201:K1201" si="764">SUM(G1206:G1210)</f>
        <v>7.5076314100737201E-2</v>
      </c>
      <c r="H1201" s="1">
        <f t="shared" si="764"/>
        <v>7.1112336999459472E-2</v>
      </c>
      <c r="I1201" s="1">
        <f t="shared" si="764"/>
        <v>8.1396018942781899E-4</v>
      </c>
      <c r="J1201" s="1">
        <f t="shared" si="764"/>
        <v>7.6280151721964473E-4</v>
      </c>
      <c r="K1201" s="1">
        <f t="shared" si="764"/>
        <v>6.660193718280433E-4</v>
      </c>
    </row>
    <row r="1202" spans="2:11" x14ac:dyDescent="0.25">
      <c r="B1202" s="5" t="str">
        <f t="shared" si="745"/>
        <v>SPS4</v>
      </c>
      <c r="C1202" s="5" t="str">
        <f t="shared" si="744"/>
        <v>CH</v>
      </c>
      <c r="D1202" t="s">
        <v>1336</v>
      </c>
      <c r="E1202" t="s">
        <v>8</v>
      </c>
      <c r="F1202" s="1">
        <f>F1201-F1203</f>
        <v>8.1940086378802998E-2</v>
      </c>
      <c r="G1202" s="1">
        <f t="shared" ref="G1202:K1202" si="765">G1201-G1203</f>
        <v>6.7794157056021209E-2</v>
      </c>
      <c r="H1202" s="1">
        <f t="shared" si="765"/>
        <v>6.4727198317518025E-2</v>
      </c>
      <c r="I1202" s="1">
        <f t="shared" si="765"/>
        <v>8.1387092312701316E-4</v>
      </c>
      <c r="J1202" s="1">
        <f t="shared" si="765"/>
        <v>-0.27838358299208987</v>
      </c>
      <c r="K1202" s="1">
        <f t="shared" si="765"/>
        <v>-1.1957962550931149</v>
      </c>
    </row>
    <row r="1203" spans="2:11" x14ac:dyDescent="0.25">
      <c r="B1203" s="5" t="str">
        <f t="shared" si="745"/>
        <v>SPS4</v>
      </c>
      <c r="C1203" s="5" t="str">
        <f t="shared" si="744"/>
        <v>CH</v>
      </c>
      <c r="D1203" t="s">
        <v>1337</v>
      </c>
      <c r="E1203" t="s">
        <v>8</v>
      </c>
      <c r="F1203" s="1">
        <f>SUM(F1204:F1205)</f>
        <v>6.6914906305404085E-3</v>
      </c>
      <c r="G1203" s="1">
        <f t="shared" ref="G1203" si="766">SUM(G1204:G1205)</f>
        <v>7.2821570447159983E-3</v>
      </c>
      <c r="H1203" s="1">
        <f t="shared" ref="H1203" si="767">SUM(H1204:H1205)</f>
        <v>6.3851386819414524E-3</v>
      </c>
      <c r="I1203" s="1">
        <f t="shared" ref="I1203" si="768">SUM(I1204:I1205)</f>
        <v>8.9266300805782988E-8</v>
      </c>
      <c r="J1203" s="1">
        <f t="shared" ref="J1203" si="769">SUM(J1204:J1205)</f>
        <v>0.27914638450930951</v>
      </c>
      <c r="K1203" s="1">
        <f t="shared" ref="K1203" si="770">SUM(K1204:K1205)</f>
        <v>1.1964622744649429</v>
      </c>
    </row>
    <row r="1204" spans="2:11" x14ac:dyDescent="0.25">
      <c r="B1204" s="5" t="str">
        <f t="shared" ref="B1204:B1267" si="771">B1203</f>
        <v>SPS4</v>
      </c>
      <c r="C1204" s="5" t="str">
        <f t="shared" si="744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6.6914906305404085E-3</v>
      </c>
      <c r="G1204" s="1">
        <f>[1]Transport!C$27/SUM([1]Transport!C$24,[1]Transport!C$27)*G1201*(G$45+G$612)/(G$45+G$612+G$47)</f>
        <v>7.2821570447159983E-3</v>
      </c>
      <c r="H1204" s="1">
        <f>[1]Transport!D$27/SUM([1]Transport!D$24,[1]Transport!D$27)*H1201*(H$45+H$612)/(H$45+H$612+H$47)</f>
        <v>6.3851386819414524E-3</v>
      </c>
      <c r="I1204" s="1">
        <f>[1]Transport!E$27/SUM([1]Transport!E$24,[1]Transport!E$27)*I1201*(I$45+I$612)/(I$45+I$612+I$47)</f>
        <v>8.9266300805782988E-8</v>
      </c>
      <c r="J1204" s="1">
        <f>[1]Transport!F$27/SUM([1]Transport!F$24,[1]Transport!F$27)*J1201*(J$45+J$612)/(J$45+J$612+J$47)</f>
        <v>2.5114991569266424E-5</v>
      </c>
      <c r="K1204" s="1">
        <f>[1]Transport!G$27/SUM([1]Transport!G$24,[1]Transport!G$27)*K1201*(K$45+K$612)/(K$45+K$612+K$47)</f>
        <v>1.1230120549590034E-5</v>
      </c>
    </row>
    <row r="1205" spans="2:11" x14ac:dyDescent="0.25">
      <c r="B1205" s="5" t="str">
        <f t="shared" si="771"/>
        <v>SPS4</v>
      </c>
      <c r="C1205" s="5" t="str">
        <f t="shared" si="744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0.27912126951774024</v>
      </c>
      <c r="K1205" s="1">
        <f>(K$47+K$714)/([1]Transport!G$24+[1]Transport!G$27)*K1201</f>
        <v>1.1964510443443934</v>
      </c>
    </row>
    <row r="1206" spans="2:11" x14ac:dyDescent="0.25">
      <c r="B1206" s="5" t="str">
        <f t="shared" si="771"/>
        <v>SPS4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71"/>
        <v>SPS4</v>
      </c>
      <c r="C1207" s="5" t="str">
        <f t="shared" si="744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3.6845382654590942E-3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7.2599072709556836E-4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5.8433096961581265E-4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1.2925134538662841E-4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4.5924012347820889E-5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2.7545387566728146E-5</v>
      </c>
    </row>
    <row r="1208" spans="2:11" x14ac:dyDescent="0.25">
      <c r="B1208" s="5" t="str">
        <f t="shared" si="771"/>
        <v>SPS4</v>
      </c>
      <c r="C1208" s="5" t="str">
        <f t="shared" si="744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3.2211797405016333E-2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2.5499170624754604E-2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2.4972082770492572E-2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1.0732855741095195E-4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1.3148668417370881E-4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7.5827672689035867E-5</v>
      </c>
    </row>
    <row r="1209" spans="2:11" x14ac:dyDescent="0.25">
      <c r="B1209" s="5" t="str">
        <f t="shared" si="771"/>
        <v>SPS4</v>
      </c>
      <c r="C1209" s="5" t="str">
        <f t="shared" si="744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4.3519053159431706E-3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1.6797097732212101E-3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1.6481789404083158E-3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4.9763189095506039E-4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2.9464471506921331E-4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2.0904671844677709E-4</v>
      </c>
    </row>
    <row r="1210" spans="2:11" x14ac:dyDescent="0.25">
      <c r="B1210" s="5" t="str">
        <f t="shared" si="771"/>
        <v>SPS4</v>
      </c>
      <c r="C1210" s="5" t="str">
        <f t="shared" si="744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4.8383336022924807E-2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4.7171442975665813E-2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4.3907744318942767E-2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7.9748395675178328E-5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2.9074610562890177E-4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3.5359959312550223E-4</v>
      </c>
    </row>
    <row r="1211" spans="2:11" x14ac:dyDescent="0.25">
      <c r="B1211" s="5" t="str">
        <f t="shared" si="771"/>
        <v>SPS4</v>
      </c>
      <c r="C1211" s="5" t="str">
        <f t="shared" si="744"/>
        <v>CH</v>
      </c>
      <c r="D1211" s="2" t="s">
        <v>1133</v>
      </c>
      <c r="E1211" s="2" t="s">
        <v>1132</v>
      </c>
      <c r="F1211" s="3">
        <f>SUM(F1212:F1261)</f>
        <v>49.003230485935319</v>
      </c>
      <c r="G1211" s="3">
        <f t="shared" ref="G1211:K1211" si="772">SUM(G1212:G1261)</f>
        <v>57.664167452974795</v>
      </c>
      <c r="H1211" s="3">
        <f t="shared" si="772"/>
        <v>58.440116984503739</v>
      </c>
      <c r="I1211" s="3">
        <f t="shared" si="772"/>
        <v>62.339335412301111</v>
      </c>
      <c r="J1211" s="3">
        <f t="shared" si="772"/>
        <v>62.344577581873445</v>
      </c>
      <c r="K1211" s="3">
        <f t="shared" si="772"/>
        <v>61.15056831548933</v>
      </c>
    </row>
    <row r="1212" spans="2:11" x14ac:dyDescent="0.25">
      <c r="B1212" s="5" t="str">
        <f t="shared" si="771"/>
        <v>SPS4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0.41619611025192688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0.3607040838977178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0.27746468609361213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0.13873212282326394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71"/>
        <v>SPS4</v>
      </c>
      <c r="C1213" s="5" t="str">
        <f t="shared" si="744"/>
        <v>CH</v>
      </c>
      <c r="D1213" t="s">
        <v>1135</v>
      </c>
      <c r="E1213" t="str">
        <f t="shared" ref="E1213:E1261" si="77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1.3806817626089441E-2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0.33225309110621398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0.22292107736222316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0.17995964796666553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0.47509967116589402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1.8986270494956285</v>
      </c>
    </row>
    <row r="1214" spans="2:11" x14ac:dyDescent="0.25">
      <c r="B1214" s="5" t="str">
        <f t="shared" si="771"/>
        <v>SPS4</v>
      </c>
      <c r="C1214" s="5" t="str">
        <f t="shared" si="744"/>
        <v>CH</v>
      </c>
      <c r="D1214" t="s">
        <v>1136</v>
      </c>
      <c r="E1214" t="str">
        <f t="shared" si="77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9.6846450158133493E-2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0.1499931152749201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2.0604916846346875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9.259136163657125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17.350333513232204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15.71857729413931</v>
      </c>
    </row>
    <row r="1215" spans="2:11" x14ac:dyDescent="0.25">
      <c r="B1215" s="5" t="str">
        <f t="shared" si="771"/>
        <v>SPS4</v>
      </c>
      <c r="C1215" s="5" t="str">
        <f t="shared" si="744"/>
        <v>CH</v>
      </c>
      <c r="D1215" t="s">
        <v>1137</v>
      </c>
      <c r="E1215" t="str">
        <f t="shared" si="77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6.1327096111326404E-2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9.3355667921519364E-2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0.12076340010542955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3.0432634680965402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6.0919191231114498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4.9622812243589527</v>
      </c>
    </row>
    <row r="1216" spans="2:11" x14ac:dyDescent="0.25">
      <c r="B1216" s="5" t="str">
        <f t="shared" si="771"/>
        <v>SPS4</v>
      </c>
      <c r="C1216" s="5" t="str">
        <f t="shared" ref="C1216:C1262" si="774">C1215</f>
        <v>CH</v>
      </c>
      <c r="D1216" t="s">
        <v>1138</v>
      </c>
      <c r="E1216" t="str">
        <f t="shared" si="77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0.19338948073816367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1.0115106793521842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2.2494309336392257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1.9253088159494112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4.715334003020013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8.4872364337738251</v>
      </c>
    </row>
    <row r="1217" spans="2:11" x14ac:dyDescent="0.25">
      <c r="B1217" s="5" t="str">
        <f t="shared" si="771"/>
        <v>SPS4</v>
      </c>
      <c r="C1217" s="5" t="str">
        <f t="shared" si="774"/>
        <v>CH</v>
      </c>
      <c r="D1217" t="s">
        <v>1139</v>
      </c>
      <c r="E1217" t="str">
        <f t="shared" si="77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2.1210839240711393E-4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1.2599784528843753E-3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1.0520501558763202E-3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9.4001561418010726E-4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4.0276155404177179E-4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2.6459797579573348E-4</v>
      </c>
    </row>
    <row r="1218" spans="2:11" x14ac:dyDescent="0.25">
      <c r="B1218" s="5" t="str">
        <f t="shared" si="771"/>
        <v>SPS4</v>
      </c>
      <c r="C1218" s="5" t="str">
        <f t="shared" si="774"/>
        <v>CH</v>
      </c>
      <c r="D1218" t="s">
        <v>1140</v>
      </c>
      <c r="E1218" t="str">
        <f t="shared" si="77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4.8703978583752409E-2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9.8676048201341501E-2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9.5452710120656814E-2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7.8163567011162727E-2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1.4665189713075303E-3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8.6798997687495506E-4</v>
      </c>
    </row>
    <row r="1219" spans="2:11" x14ac:dyDescent="0.25">
      <c r="B1219" s="5" t="str">
        <f t="shared" si="771"/>
        <v>SPS4</v>
      </c>
      <c r="C1219" s="5" t="str">
        <f t="shared" si="774"/>
        <v>CH</v>
      </c>
      <c r="D1219" t="s">
        <v>1141</v>
      </c>
      <c r="E1219" t="str">
        <f t="shared" si="77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4.602325883952578E-2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0.15558340923939595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1.1040906624633113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0.98216586002230766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0.25862331481552231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1.2852864639404213</v>
      </c>
    </row>
    <row r="1220" spans="2:11" x14ac:dyDescent="0.25">
      <c r="B1220" s="5" t="str">
        <f t="shared" si="771"/>
        <v>SPS4</v>
      </c>
      <c r="C1220" s="5" t="str">
        <f t="shared" si="774"/>
        <v>CH</v>
      </c>
      <c r="D1220" t="s">
        <v>1142</v>
      </c>
      <c r="E1220" t="str">
        <f t="shared" si="77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9.020756327459277E-2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0.15979829510710952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0.15372941429420411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0.12353925305043553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1.8793403130108362E-3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1.1671676247157596E-3</v>
      </c>
    </row>
    <row r="1221" spans="2:11" x14ac:dyDescent="0.25">
      <c r="B1221" s="5" t="str">
        <f t="shared" si="771"/>
        <v>SPS4</v>
      </c>
      <c r="C1221" s="5" t="str">
        <f t="shared" si="774"/>
        <v>CH</v>
      </c>
      <c r="D1221" t="s">
        <v>1143</v>
      </c>
      <c r="E1221" t="str">
        <f t="shared" si="77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1.2519761704476115E-5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1.9196092968444464E-3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1.4606557001510519E-3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1.2835436227998322E-3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4.0333574242812619E-4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2.6622580052639439E-4</v>
      </c>
    </row>
    <row r="1222" spans="2:11" x14ac:dyDescent="0.25">
      <c r="B1222" s="5" t="str">
        <f t="shared" si="771"/>
        <v>SPS4</v>
      </c>
      <c r="C1222" s="5" t="str">
        <f t="shared" si="774"/>
        <v>CH</v>
      </c>
      <c r="D1222" t="s">
        <v>1144</v>
      </c>
      <c r="E1222" t="str">
        <f t="shared" si="77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3.1377315374041961E-6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3.8191875550494476E-4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1.1561065142759177E-3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1.5882441749987437E-3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1.6263795473509509E-3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9.0589038110277847E-4</v>
      </c>
    </row>
    <row r="1223" spans="2:11" x14ac:dyDescent="0.25">
      <c r="B1223" s="5" t="str">
        <f t="shared" si="771"/>
        <v>SPS4</v>
      </c>
      <c r="C1223" s="5" t="str">
        <f t="shared" si="774"/>
        <v>CH</v>
      </c>
      <c r="D1223" t="s">
        <v>1145</v>
      </c>
      <c r="E1223" t="str">
        <f t="shared" si="77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5.574938073398481E-5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0.10834195250180227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0.58100342566161778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4.2997004236360556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11.113890221966086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9.0939020790459058</v>
      </c>
    </row>
    <row r="1224" spans="2:11" x14ac:dyDescent="0.25">
      <c r="B1224" s="5" t="str">
        <f t="shared" si="771"/>
        <v>SPS4</v>
      </c>
      <c r="C1224" s="5" t="str">
        <f t="shared" si="774"/>
        <v>CH</v>
      </c>
      <c r="D1224" t="s">
        <v>1146</v>
      </c>
      <c r="E1224" t="str">
        <f t="shared" si="77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3.0925532144218952E-3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0.38272741683530614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0.36161471197427897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0.29085153374812306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1.9754351326980567E-3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1.1923582385025661E-3</v>
      </c>
    </row>
    <row r="1225" spans="2:11" x14ac:dyDescent="0.25">
      <c r="B1225" s="5" t="str">
        <f t="shared" si="771"/>
        <v>SPS4</v>
      </c>
      <c r="C1225" s="5" t="str">
        <f t="shared" si="774"/>
        <v>CH</v>
      </c>
      <c r="D1225" t="s">
        <v>1147</v>
      </c>
      <c r="E1225" t="str">
        <f t="shared" si="77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2.7495753813798817E-5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6.8485918313109778E-5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9.4489721449350506E-5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5.4710892400712757E-4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2.5941156403757595E-4</v>
      </c>
    </row>
    <row r="1226" spans="2:11" x14ac:dyDescent="0.25">
      <c r="B1226" s="5" t="str">
        <f t="shared" si="771"/>
        <v>SPS4</v>
      </c>
      <c r="C1226" s="5" t="str">
        <f t="shared" si="774"/>
        <v>CH</v>
      </c>
      <c r="D1226" t="s">
        <v>1148</v>
      </c>
      <c r="E1226" t="str">
        <f t="shared" si="77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7.2219254909718572E-5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1.0692483948861417E-4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1.4655330542345064E-4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1.7686800605053171E-4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2.6414350841263084E-4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1.5701597521894711E-4</v>
      </c>
    </row>
    <row r="1227" spans="2:11" x14ac:dyDescent="0.25">
      <c r="B1227" s="5" t="str">
        <f t="shared" si="771"/>
        <v>SPS4</v>
      </c>
      <c r="C1227" s="5" t="str">
        <f t="shared" si="774"/>
        <v>CH</v>
      </c>
      <c r="D1227" t="s">
        <v>1149</v>
      </c>
      <c r="E1227" t="str">
        <f t="shared" si="77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6.3941129965052813E-4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1.5782815676394111E-3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1.5094051597096449E-3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1.3289763810760595E-3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2.3281454931051488E-4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1.7007199847855623E-4</v>
      </c>
    </row>
    <row r="1228" spans="2:11" x14ac:dyDescent="0.25">
      <c r="B1228" s="5" t="str">
        <f t="shared" si="771"/>
        <v>SPS4</v>
      </c>
      <c r="C1228" s="5" t="str">
        <f t="shared" si="774"/>
        <v>CH</v>
      </c>
      <c r="D1228" t="s">
        <v>1150</v>
      </c>
      <c r="E1228" t="str">
        <f t="shared" si="77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2.7642843510682554E-5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7.1915525062904686E-5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1.1247649413486337E-4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6.0715111221242067E-4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1.4670389218082354E-3</v>
      </c>
    </row>
    <row r="1229" spans="2:11" x14ac:dyDescent="0.25">
      <c r="B1229" s="5" t="str">
        <f t="shared" si="771"/>
        <v>SPS4</v>
      </c>
      <c r="C1229" s="5" t="str">
        <f t="shared" si="774"/>
        <v>CH</v>
      </c>
      <c r="D1229" t="s">
        <v>1234</v>
      </c>
      <c r="E1229" t="str">
        <f t="shared" si="77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0.61924943577995406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0.62769442155172328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0.48284063064901739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0.24142267761960925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771"/>
        <v>SPS4</v>
      </c>
      <c r="C1230" s="5" t="str">
        <f t="shared" si="774"/>
        <v>CH</v>
      </c>
      <c r="D1230" t="s">
        <v>1151</v>
      </c>
      <c r="E1230" t="str">
        <f t="shared" si="77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5.2307558342583715E-2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6.1529379309838081E-2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4.3110999861662155E-2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3.4459997394528312E-2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0.78277905261356251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0.31930061400701654</v>
      </c>
    </row>
    <row r="1231" spans="2:11" x14ac:dyDescent="0.25">
      <c r="B1231" s="5" t="str">
        <f t="shared" si="771"/>
        <v>SPS4</v>
      </c>
      <c r="C1231" s="5" t="str">
        <f t="shared" si="774"/>
        <v>CH</v>
      </c>
      <c r="D1231" t="s">
        <v>1152</v>
      </c>
      <c r="E1231" t="str">
        <f t="shared" si="77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0.21991029241549231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0.38842095897865564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0.55499075641407691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0.45863683666469668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0.60187978524852448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1.0240557766768354</v>
      </c>
    </row>
    <row r="1232" spans="2:11" x14ac:dyDescent="0.25">
      <c r="B1232" s="5" t="str">
        <f t="shared" si="771"/>
        <v>SPS4</v>
      </c>
      <c r="C1232" s="5" t="str">
        <f t="shared" si="774"/>
        <v>CH</v>
      </c>
      <c r="D1232" t="s">
        <v>1153</v>
      </c>
      <c r="E1232" t="str">
        <f t="shared" si="77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0.20218961641676558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3.5918839732580525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3.3922623886511625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2.7298984146715792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4.9307282365366198E-4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3.2087892961245507E-4</v>
      </c>
    </row>
    <row r="1233" spans="2:11" x14ac:dyDescent="0.25">
      <c r="B1233" s="5" t="str">
        <f t="shared" si="771"/>
        <v>SPS4</v>
      </c>
      <c r="C1233" s="5" t="str">
        <f t="shared" si="774"/>
        <v>CH</v>
      </c>
      <c r="D1233" t="s">
        <v>1154</v>
      </c>
      <c r="E1233" t="str">
        <f t="shared" si="77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0.104213991266628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0.17954475065432271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0.17210815508329302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0.14414313484759972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6.1708863959577653E-4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1.0152754068164568E-3</v>
      </c>
    </row>
    <row r="1234" spans="2:11" x14ac:dyDescent="0.25">
      <c r="B1234" s="5" t="str">
        <f t="shared" si="771"/>
        <v>SPS4</v>
      </c>
      <c r="C1234" s="5" t="str">
        <f t="shared" si="774"/>
        <v>CH</v>
      </c>
      <c r="D1234" t="s">
        <v>1155</v>
      </c>
      <c r="E1234" t="str">
        <f t="shared" si="77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18.302988284882307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17.110360195950971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12.358495781557163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3.5088392191378741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771"/>
        <v>SPS4</v>
      </c>
      <c r="C1235" s="5" t="str">
        <f t="shared" si="774"/>
        <v>CH</v>
      </c>
      <c r="D1235" t="s">
        <v>1156</v>
      </c>
      <c r="E1235" t="str">
        <f t="shared" si="77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0.33184810177649271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0.37214297852048311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0.26070130557894788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0.20006264801574083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5.37426341281605E-4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1.2839026521247365E-4</v>
      </c>
    </row>
    <row r="1236" spans="2:11" x14ac:dyDescent="0.25">
      <c r="B1236" s="5" t="str">
        <f t="shared" si="771"/>
        <v>SPS4</v>
      </c>
      <c r="C1236" s="5" t="str">
        <f t="shared" si="774"/>
        <v>CH</v>
      </c>
      <c r="D1236" t="s">
        <v>1157</v>
      </c>
      <c r="E1236" t="str">
        <f t="shared" si="77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2.2369952342336652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3.2076642747647202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3.1699287993681038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2.5058090843259246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1.3538106161478057E-3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2.6953287809866752E-4</v>
      </c>
    </row>
    <row r="1237" spans="2:11" x14ac:dyDescent="0.25">
      <c r="B1237" s="5" t="str">
        <f t="shared" si="771"/>
        <v>SPS4</v>
      </c>
      <c r="C1237" s="5" t="str">
        <f t="shared" si="774"/>
        <v>CH</v>
      </c>
      <c r="D1237" t="s">
        <v>1158</v>
      </c>
      <c r="E1237" t="str">
        <f t="shared" si="77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1.8646163746815136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2.9619668747114267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3.5935762740472006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2.9652266602377439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5.8938982842293021E-2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4.9068436798957676E-4</v>
      </c>
    </row>
    <row r="1238" spans="2:11" x14ac:dyDescent="0.25">
      <c r="B1238" s="5" t="str">
        <f t="shared" si="771"/>
        <v>SPS4</v>
      </c>
      <c r="C1238" s="5" t="str">
        <f t="shared" si="774"/>
        <v>CH</v>
      </c>
      <c r="D1238" t="s">
        <v>1159</v>
      </c>
      <c r="E1238" t="str">
        <f t="shared" si="77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1.6601133273673221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2.27540723567492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5.7499278741641069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12.774052196093809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15.822734284389043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12.595929839273571</v>
      </c>
    </row>
    <row r="1239" spans="2:11" x14ac:dyDescent="0.25">
      <c r="B1239" s="5" t="str">
        <f t="shared" si="771"/>
        <v>SPS4</v>
      </c>
      <c r="C1239" s="5" t="str">
        <f t="shared" si="774"/>
        <v>CH</v>
      </c>
      <c r="D1239" t="s">
        <v>1160</v>
      </c>
      <c r="E1239" t="str">
        <f t="shared" si="77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3.9295842275338853E-5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0.35052656037069102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0.30897784116274812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3.0366808511392462E-2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1.6973574394445583E-4</v>
      </c>
    </row>
    <row r="1240" spans="2:11" x14ac:dyDescent="0.25">
      <c r="B1240" s="5" t="str">
        <f t="shared" si="771"/>
        <v>SPS4</v>
      </c>
      <c r="C1240" s="5" t="str">
        <f t="shared" si="774"/>
        <v>CH</v>
      </c>
      <c r="D1240" t="s">
        <v>1161</v>
      </c>
      <c r="E1240" t="str">
        <f t="shared" si="77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3.104567937350984E-5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5.1768633803797788E-4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1.3805674032246439E-3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9.494067503784848E-4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2.5215101583588734E-4</v>
      </c>
    </row>
    <row r="1241" spans="2:11" x14ac:dyDescent="0.25">
      <c r="B1241" s="5" t="str">
        <f t="shared" si="771"/>
        <v>SPS4</v>
      </c>
      <c r="C1241" s="5" t="str">
        <f t="shared" si="774"/>
        <v>CH</v>
      </c>
      <c r="D1241" t="s">
        <v>1162</v>
      </c>
      <c r="E1241" t="str">
        <f t="shared" si="77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3.1656128902031318E-5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4.5899357902883306E-4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1.1926241797552983E-3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9.9542654400480799E-4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3.3844309879890646E-4</v>
      </c>
    </row>
    <row r="1242" spans="2:11" x14ac:dyDescent="0.25">
      <c r="B1242" s="5" t="str">
        <f t="shared" si="771"/>
        <v>SPS4</v>
      </c>
      <c r="C1242" s="5" t="str">
        <f t="shared" si="774"/>
        <v>CH</v>
      </c>
      <c r="D1242" t="s">
        <v>1163</v>
      </c>
      <c r="E1242" t="str">
        <f t="shared" si="77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3.9612553995480132E-5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9.5265569456744333E-4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1.9078027113913074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2.2902801781431945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2.4866904660284046</v>
      </c>
    </row>
    <row r="1243" spans="2:11" x14ac:dyDescent="0.25">
      <c r="B1243" s="5" t="str">
        <f t="shared" si="771"/>
        <v>SPS4</v>
      </c>
      <c r="C1243" s="5" t="str">
        <f t="shared" si="774"/>
        <v>CH</v>
      </c>
      <c r="D1243" t="s">
        <v>1236</v>
      </c>
      <c r="E1243" t="str">
        <f t="shared" si="77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771"/>
        <v>SPS4</v>
      </c>
      <c r="C1244" s="5" t="str">
        <f t="shared" si="774"/>
        <v>CH</v>
      </c>
      <c r="D1244" t="s">
        <v>1164</v>
      </c>
      <c r="E1244" t="str">
        <f t="shared" si="77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1.3132459022246017E-5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2.302798402390587E-4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7.9471941328511429E-4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8.3799729090318212E-4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0.68378720330381382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0.22817025543578293</v>
      </c>
    </row>
    <row r="1245" spans="2:11" x14ac:dyDescent="0.25">
      <c r="B1245" s="5" t="str">
        <f t="shared" si="771"/>
        <v>SPS4</v>
      </c>
      <c r="C1245" s="5" t="str">
        <f t="shared" si="774"/>
        <v>CH</v>
      </c>
      <c r="D1245" t="s">
        <v>1165</v>
      </c>
      <c r="E1245" t="str">
        <f t="shared" si="77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3.3486995437087617E-3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1.8246401639282985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2.7459103395667674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2.2833492511853954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0.43059825399088991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1.3025158077816019</v>
      </c>
    </row>
    <row r="1246" spans="2:11" x14ac:dyDescent="0.25">
      <c r="B1246" s="5" t="str">
        <f t="shared" si="771"/>
        <v>SPS4</v>
      </c>
      <c r="C1246" s="5" t="str">
        <f t="shared" si="774"/>
        <v>CH</v>
      </c>
      <c r="D1246" t="s">
        <v>1166</v>
      </c>
      <c r="E1246" t="str">
        <f t="shared" si="77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2.6583228925468511E-2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5.3737564552743061E-2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5.1268001383533372E-2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4.0903476304939797E-2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4.9072223635110435E-4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3.2178877581258658E-4</v>
      </c>
    </row>
    <row r="1247" spans="2:11" x14ac:dyDescent="0.25">
      <c r="B1247" s="5" t="str">
        <f t="shared" si="771"/>
        <v>SPS4</v>
      </c>
      <c r="C1247" s="5" t="str">
        <f t="shared" si="774"/>
        <v>CH</v>
      </c>
      <c r="D1247" t="s">
        <v>1167</v>
      </c>
      <c r="E1247" t="str">
        <f t="shared" si="77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4.7629467763741787E-2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0.11235791809328789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0.10715362375630541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8.9969348447053829E-2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6.1908169134612917E-4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1.0385222610837356E-3</v>
      </c>
    </row>
    <row r="1248" spans="2:11" x14ac:dyDescent="0.25">
      <c r="B1248" s="5" t="str">
        <f t="shared" si="771"/>
        <v>SPS4</v>
      </c>
      <c r="C1248" s="5" t="str">
        <f t="shared" si="774"/>
        <v>CH</v>
      </c>
      <c r="D1248" t="s">
        <v>1168</v>
      </c>
      <c r="E1248" t="str">
        <f t="shared" si="77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17.880003465646681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17.235951170310958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13.258381789693543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6.6292035956134514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771"/>
        <v>SPS4</v>
      </c>
      <c r="C1249" s="5" t="str">
        <f t="shared" si="774"/>
        <v>CH</v>
      </c>
      <c r="D1249" t="s">
        <v>1169</v>
      </c>
      <c r="E1249" t="str">
        <f t="shared" si="77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3.9573274024390015E-3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4.4882424531669032E-3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3.4466492549879379E-3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2.5739084763175542E-3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2.2949168747903482E-4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8.3614166157691897E-5</v>
      </c>
    </row>
    <row r="1250" spans="2:11" x14ac:dyDescent="0.25">
      <c r="B1250" s="5" t="str">
        <f t="shared" si="771"/>
        <v>SPS4</v>
      </c>
      <c r="C1250" s="5" t="str">
        <f t="shared" si="774"/>
        <v>CH</v>
      </c>
      <c r="D1250" t="s">
        <v>1170</v>
      </c>
      <c r="E1250" t="str">
        <f t="shared" si="77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0.85092926893762977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0.90293619725647289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0.81695008618603537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0.67877440198569594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3.470389544451499E-4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1.2862592153449988E-4</v>
      </c>
    </row>
    <row r="1251" spans="2:11" x14ac:dyDescent="0.25">
      <c r="B1251" s="5" t="str">
        <f t="shared" si="771"/>
        <v>SPS4</v>
      </c>
      <c r="C1251" s="5" t="str">
        <f t="shared" si="774"/>
        <v>CH</v>
      </c>
      <c r="D1251" t="s">
        <v>1171</v>
      </c>
      <c r="E1251" t="str">
        <f t="shared" si="77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2.6631025483557336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2.8360562886229728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2.8065073269972345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2.1808118413393274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3.8482573553314767E-4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1.6665510154215566E-4</v>
      </c>
    </row>
    <row r="1252" spans="2:11" x14ac:dyDescent="0.25">
      <c r="B1252" s="5" t="str">
        <f t="shared" si="771"/>
        <v>SPS4</v>
      </c>
      <c r="C1252" s="5" t="str">
        <f t="shared" si="774"/>
        <v>CH</v>
      </c>
      <c r="D1252" t="s">
        <v>1172</v>
      </c>
      <c r="E1252" t="str">
        <f t="shared" si="77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0.90389799678140204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1.0075821819974056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0.99256665882323347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0.77527599039735884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2.0077565980354675E-4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1.0138420033311971E-4</v>
      </c>
    </row>
    <row r="1253" spans="2:11" x14ac:dyDescent="0.25">
      <c r="B1253" s="5" t="str">
        <f t="shared" si="771"/>
        <v>SPS4</v>
      </c>
      <c r="C1253" s="5" t="str">
        <f t="shared" si="774"/>
        <v>CH</v>
      </c>
      <c r="D1253" t="s">
        <v>1173</v>
      </c>
      <c r="E1253" t="str">
        <f t="shared" si="77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4.2618091189837051E-5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0.24487977725842713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1.142787845559335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0.3965817839023581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4.5990737475714406E-4</v>
      </c>
    </row>
    <row r="1254" spans="2:11" x14ac:dyDescent="0.25">
      <c r="B1254" s="5" t="str">
        <f t="shared" si="771"/>
        <v>SPS4</v>
      </c>
      <c r="C1254" s="5" t="str">
        <f t="shared" si="774"/>
        <v>CH</v>
      </c>
      <c r="D1254" t="s">
        <v>1174</v>
      </c>
      <c r="E1254" t="str">
        <f t="shared" si="77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3.3776406915872494E-5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5.0563000125920473E-4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2.7689355471715027E-2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1.182758518229976E-2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5.3393328727224343E-4</v>
      </c>
    </row>
    <row r="1255" spans="2:11" x14ac:dyDescent="0.25">
      <c r="B1255" s="5" t="str">
        <f t="shared" si="771"/>
        <v>SPS4</v>
      </c>
      <c r="C1255" s="5" t="str">
        <f t="shared" si="774"/>
        <v>CH</v>
      </c>
      <c r="D1255" t="s">
        <v>1175</v>
      </c>
      <c r="E1255" t="str">
        <f t="shared" si="77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3.394495032197244E-5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4.4228695970829863E-4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0.37817436935417842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1.2121506495926624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1.7347943105772927</v>
      </c>
    </row>
    <row r="1256" spans="2:11" x14ac:dyDescent="0.25">
      <c r="B1256" s="5" t="str">
        <f t="shared" si="771"/>
        <v>SPS4</v>
      </c>
      <c r="C1256" s="5" t="str">
        <f t="shared" si="774"/>
        <v>CH</v>
      </c>
      <c r="D1256" t="s">
        <v>1176</v>
      </c>
      <c r="E1256" t="str">
        <f t="shared" si="77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2.9695189866345979E-5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1.6497257834492161E-4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3.0802456461850148E-4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4.5249681045972173E-4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2.8441477180857271E-4</v>
      </c>
    </row>
    <row r="1257" spans="2:11" x14ac:dyDescent="0.25">
      <c r="B1257" s="5" t="str">
        <f t="shared" si="771"/>
        <v>SPS4</v>
      </c>
      <c r="C1257" s="5" t="str">
        <f t="shared" si="774"/>
        <v>CH</v>
      </c>
      <c r="D1257" t="s">
        <v>1177</v>
      </c>
      <c r="E1257" t="str">
        <f t="shared" si="77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771"/>
        <v>SPS4</v>
      </c>
      <c r="C1258" s="5" t="str">
        <f t="shared" si="774"/>
        <v>CH</v>
      </c>
      <c r="D1258" t="s">
        <v>1178</v>
      </c>
      <c r="E1258" t="str">
        <f t="shared" si="77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2.2676249777174675E-3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4.6683304245761874E-4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3.7283348212752154E-4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8.1089242302275164E-5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2.8902520677212251E-5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1.9171468368231755E-5</v>
      </c>
    </row>
    <row r="1259" spans="2:11" x14ac:dyDescent="0.25">
      <c r="B1259" s="5" t="str">
        <f t="shared" si="771"/>
        <v>SPS4</v>
      </c>
      <c r="C1259" s="5" t="str">
        <f t="shared" si="774"/>
        <v>CH</v>
      </c>
      <c r="D1259" t="s">
        <v>1179</v>
      </c>
      <c r="E1259" t="str">
        <f t="shared" si="77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2.1408963149608138E-2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1.7545032190557006E-2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1.7169216509182489E-2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5.9863294182374071E-5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6.6004057069593775E-5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4.2255265124104963E-5</v>
      </c>
    </row>
    <row r="1260" spans="2:11" x14ac:dyDescent="0.25">
      <c r="B1260" s="5" t="str">
        <f t="shared" si="771"/>
        <v>SPS4</v>
      </c>
      <c r="C1260" s="5" t="str">
        <f t="shared" si="774"/>
        <v>CH</v>
      </c>
      <c r="D1260" t="s">
        <v>1180</v>
      </c>
      <c r="E1260" t="str">
        <f t="shared" si="77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2.0373530164983105E-3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8.4471027139986204E-4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8.2844750359027566E-4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2.4103026768852335E-4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1.4155261604569189E-4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1.1457389146717614E-4</v>
      </c>
    </row>
    <row r="1261" spans="2:11" x14ac:dyDescent="0.25">
      <c r="B1261" s="5" t="str">
        <f t="shared" si="771"/>
        <v>SPS4</v>
      </c>
      <c r="C1261" s="5" t="str">
        <f t="shared" si="774"/>
        <v>CH</v>
      </c>
      <c r="D1261" t="s">
        <v>1181</v>
      </c>
      <c r="E1261" t="str">
        <f t="shared" si="77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3.3030737194074129E-2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3.218857124967818E-2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2.9947885151051838E-2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4.3940384729186757E-5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1.4105380320031261E-4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2.0299430614852251E-4</v>
      </c>
    </row>
    <row r="1262" spans="2:11" x14ac:dyDescent="0.25">
      <c r="B1262" s="5" t="str">
        <f t="shared" si="771"/>
        <v>SPS4</v>
      </c>
      <c r="C1262" s="5" t="str">
        <f t="shared" si="774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 t="shared" si="771"/>
        <v>SPS4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775">IFERROR(F1212/F1136,"-")</f>
        <v>0.88951199431361316</v>
      </c>
      <c r="G1263" s="1">
        <f t="shared" si="775"/>
        <v>0.95694536964701937</v>
      </c>
      <c r="H1263" s="1">
        <f t="shared" si="775"/>
        <v>1.0580954326471244</v>
      </c>
      <c r="I1263" s="1">
        <f t="shared" si="775"/>
        <v>1.226678870980638</v>
      </c>
      <c r="J1263" s="1" t="str">
        <f t="shared" si="775"/>
        <v>-</v>
      </c>
      <c r="K1263" s="1" t="str">
        <f t="shared" si="775"/>
        <v>-</v>
      </c>
    </row>
    <row r="1264" spans="2:11" x14ac:dyDescent="0.25">
      <c r="B1264" s="5" t="str">
        <f t="shared" si="771"/>
        <v>SPS4</v>
      </c>
      <c r="C1264" s="5" t="str">
        <f t="shared" ref="C1264:C1312" si="776">C1263</f>
        <v>CH</v>
      </c>
      <c r="D1264" t="s">
        <v>1183</v>
      </c>
      <c r="E1264" t="str">
        <f t="shared" ref="E1264:E1312" si="777">E1263</f>
        <v>km/MJ</v>
      </c>
      <c r="F1264" s="1">
        <f t="shared" si="775"/>
        <v>1.8116719735064537</v>
      </c>
      <c r="G1264" s="1">
        <f t="shared" si="775"/>
        <v>1.8116719735064482</v>
      </c>
      <c r="H1264" s="1">
        <f t="shared" si="775"/>
        <v>1.8116719735064524</v>
      </c>
      <c r="I1264" s="1">
        <f t="shared" si="775"/>
        <v>1.8116719735064484</v>
      </c>
      <c r="J1264" s="1">
        <f t="shared" si="775"/>
        <v>1.9930571588264263</v>
      </c>
      <c r="K1264" s="1">
        <f t="shared" si="775"/>
        <v>2.1718765658634323</v>
      </c>
    </row>
    <row r="1265" spans="2:11" x14ac:dyDescent="0.25">
      <c r="B1265" s="5" t="str">
        <f t="shared" si="771"/>
        <v>SPS4</v>
      </c>
      <c r="C1265" s="5" t="str">
        <f t="shared" si="776"/>
        <v>CH</v>
      </c>
      <c r="D1265" t="s">
        <v>1184</v>
      </c>
      <c r="E1265" t="str">
        <f t="shared" si="777"/>
        <v>km/MJ</v>
      </c>
      <c r="F1265" s="1">
        <f t="shared" si="775"/>
        <v>1.4637982671179686</v>
      </c>
      <c r="G1265" s="1">
        <f t="shared" si="775"/>
        <v>1.4637982671179686</v>
      </c>
      <c r="H1265" s="1">
        <f t="shared" si="775"/>
        <v>1.4637982671179688</v>
      </c>
      <c r="I1265" s="1">
        <f t="shared" si="775"/>
        <v>1.4637982671179688</v>
      </c>
      <c r="J1265" s="1">
        <f t="shared" si="775"/>
        <v>1.5622450536694847</v>
      </c>
      <c r="K1265" s="1">
        <f t="shared" si="775"/>
        <v>1.7120400058751422</v>
      </c>
    </row>
    <row r="1266" spans="2:11" x14ac:dyDescent="0.25">
      <c r="B1266" s="5" t="str">
        <f t="shared" si="771"/>
        <v>SPS4</v>
      </c>
      <c r="C1266" s="5" t="str">
        <f t="shared" si="776"/>
        <v>CH</v>
      </c>
      <c r="D1266" t="s">
        <v>1185</v>
      </c>
      <c r="E1266" t="str">
        <f t="shared" si="777"/>
        <v>km/MJ</v>
      </c>
      <c r="F1266" s="1">
        <f t="shared" si="775"/>
        <v>1.3374527251491992</v>
      </c>
      <c r="G1266" s="1">
        <f t="shared" si="775"/>
        <v>1.3374527251491988</v>
      </c>
      <c r="H1266" s="1">
        <f t="shared" si="775"/>
        <v>1.3374527251492023</v>
      </c>
      <c r="I1266" s="1">
        <f t="shared" si="775"/>
        <v>1.3374527251492003</v>
      </c>
      <c r="J1266" s="1">
        <f t="shared" si="775"/>
        <v>1.4100669842114157</v>
      </c>
      <c r="K1266" s="1">
        <f t="shared" si="775"/>
        <v>1.5653212167063786</v>
      </c>
    </row>
    <row r="1267" spans="2:11" x14ac:dyDescent="0.25">
      <c r="B1267" s="5" t="str">
        <f t="shared" si="771"/>
        <v>SPS4</v>
      </c>
      <c r="C1267" s="5" t="str">
        <f t="shared" si="776"/>
        <v>CH</v>
      </c>
      <c r="D1267" t="s">
        <v>1186</v>
      </c>
      <c r="E1267" t="str">
        <f t="shared" si="777"/>
        <v>km/MJ</v>
      </c>
      <c r="F1267" s="1">
        <f t="shared" si="775"/>
        <v>1.2949729235430785</v>
      </c>
      <c r="G1267" s="1">
        <f t="shared" si="775"/>
        <v>1.2949729235430785</v>
      </c>
      <c r="H1267" s="1">
        <f t="shared" si="775"/>
        <v>1.294972923543078</v>
      </c>
      <c r="I1267" s="1">
        <f t="shared" si="775"/>
        <v>1.2949729235430816</v>
      </c>
      <c r="J1267" s="1">
        <f t="shared" si="775"/>
        <v>1.3638761452666452</v>
      </c>
      <c r="K1267" s="1">
        <f t="shared" si="775"/>
        <v>1.5404207065994688</v>
      </c>
    </row>
    <row r="1268" spans="2:11" x14ac:dyDescent="0.25">
      <c r="B1268" s="5" t="str">
        <f t="shared" ref="B1268:B1331" si="778">B1267</f>
        <v>SPS4</v>
      </c>
      <c r="C1268" s="5" t="str">
        <f t="shared" si="776"/>
        <v>CH</v>
      </c>
      <c r="D1268" t="s">
        <v>1187</v>
      </c>
      <c r="E1268" t="str">
        <f t="shared" si="777"/>
        <v>km/MJ</v>
      </c>
      <c r="F1268" s="1">
        <f t="shared" ref="F1268:K1271" si="779">IFERROR(F1217/SUM(F1141,F1174),"-")</f>
        <v>0.71152258217993758</v>
      </c>
      <c r="G1268" s="1">
        <f t="shared" si="779"/>
        <v>0.76057742168916753</v>
      </c>
      <c r="H1268" s="1">
        <f t="shared" si="779"/>
        <v>0.77177304444345352</v>
      </c>
      <c r="I1268" s="1">
        <f t="shared" si="779"/>
        <v>0.81130314544007742</v>
      </c>
      <c r="J1268" s="1">
        <f t="shared" si="779"/>
        <v>0.93197978815856386</v>
      </c>
      <c r="K1268" s="1">
        <f t="shared" si="779"/>
        <v>1.1231353084055842</v>
      </c>
    </row>
    <row r="1269" spans="2:11" x14ac:dyDescent="0.25">
      <c r="B1269" s="5" t="str">
        <f t="shared" si="778"/>
        <v>SPS4</v>
      </c>
      <c r="C1269" s="5" t="str">
        <f t="shared" si="776"/>
        <v>CH</v>
      </c>
      <c r="D1269" t="s">
        <v>1188</v>
      </c>
      <c r="E1269" t="str">
        <f t="shared" si="777"/>
        <v>km/MJ</v>
      </c>
      <c r="F1269" s="1">
        <f t="shared" si="779"/>
        <v>0.59207520893774102</v>
      </c>
      <c r="G1269" s="1">
        <f t="shared" si="779"/>
        <v>0.63281787664464328</v>
      </c>
      <c r="H1269" s="1">
        <f t="shared" si="779"/>
        <v>0.59248064762349906</v>
      </c>
      <c r="I1269" s="1">
        <f t="shared" si="779"/>
        <v>0.61371316014364408</v>
      </c>
      <c r="J1269" s="1">
        <f t="shared" si="779"/>
        <v>0.78035239237632215</v>
      </c>
      <c r="K1269" s="1">
        <f t="shared" si="779"/>
        <v>0.96839175623993878</v>
      </c>
    </row>
    <row r="1270" spans="2:11" x14ac:dyDescent="0.25">
      <c r="B1270" s="5" t="str">
        <f t="shared" si="778"/>
        <v>SPS4</v>
      </c>
      <c r="C1270" s="5" t="str">
        <f t="shared" si="776"/>
        <v>CH</v>
      </c>
      <c r="D1270" t="s">
        <v>1189</v>
      </c>
      <c r="E1270" t="str">
        <f t="shared" si="777"/>
        <v>km/MJ</v>
      </c>
      <c r="F1270" s="1">
        <f t="shared" si="779"/>
        <v>0.54553548390545259</v>
      </c>
      <c r="G1270" s="1">
        <f t="shared" si="779"/>
        <v>0.60405272158005141</v>
      </c>
      <c r="H1270" s="1">
        <f t="shared" si="779"/>
        <v>0.61793229684687256</v>
      </c>
      <c r="I1270" s="1">
        <f t="shared" si="779"/>
        <v>0.66531983787197058</v>
      </c>
      <c r="J1270" s="1">
        <f t="shared" si="779"/>
        <v>0.77184113693896794</v>
      </c>
      <c r="K1270" s="1">
        <f t="shared" si="779"/>
        <v>1.0085053754567572</v>
      </c>
    </row>
    <row r="1271" spans="2:11" x14ac:dyDescent="0.25">
      <c r="B1271" s="5" t="str">
        <f t="shared" si="778"/>
        <v>SPS4</v>
      </c>
      <c r="C1271" s="5" t="str">
        <f t="shared" si="776"/>
        <v>CH</v>
      </c>
      <c r="D1271" t="s">
        <v>1190</v>
      </c>
      <c r="E1271" t="str">
        <f t="shared" si="777"/>
        <v>km/MJ</v>
      </c>
      <c r="F1271" s="1">
        <f t="shared" si="779"/>
        <v>0.51975568473665901</v>
      </c>
      <c r="G1271" s="1">
        <f t="shared" si="779"/>
        <v>0.57148129549106941</v>
      </c>
      <c r="H1271" s="1">
        <f t="shared" si="779"/>
        <v>0.58371602284281821</v>
      </c>
      <c r="I1271" s="1">
        <f t="shared" si="779"/>
        <v>0.62199923435917359</v>
      </c>
      <c r="J1271" s="1">
        <f t="shared" si="779"/>
        <v>0.71343706975478216</v>
      </c>
      <c r="K1271" s="1">
        <f t="shared" si="779"/>
        <v>0.90142754582145079</v>
      </c>
    </row>
    <row r="1272" spans="2:11" x14ac:dyDescent="0.25">
      <c r="B1272" s="5" t="str">
        <f t="shared" si="778"/>
        <v>SPS4</v>
      </c>
      <c r="C1272" s="5" t="str">
        <f t="shared" si="776"/>
        <v>CH</v>
      </c>
      <c r="D1272" t="s">
        <v>1191</v>
      </c>
      <c r="E1272" t="str">
        <f t="shared" si="777"/>
        <v>km/MJ</v>
      </c>
      <c r="F1272" s="1">
        <f t="shared" ref="F1272:K1275" si="780">IFERROR(F1221/SUM(F1145,F1197),"-")</f>
        <v>0.72840569582556935</v>
      </c>
      <c r="G1272" s="1">
        <f t="shared" si="780"/>
        <v>0.77518607008284901</v>
      </c>
      <c r="H1272" s="1">
        <f t="shared" si="780"/>
        <v>0.78613937838487646</v>
      </c>
      <c r="I1272" s="1">
        <f t="shared" si="780"/>
        <v>0.82624541995623457</v>
      </c>
      <c r="J1272" s="1">
        <f t="shared" si="780"/>
        <v>0.945629753650023</v>
      </c>
      <c r="K1272" s="1">
        <f t="shared" si="780"/>
        <v>1.1242190913975194</v>
      </c>
    </row>
    <row r="1273" spans="2:11" x14ac:dyDescent="0.25">
      <c r="B1273" s="5" t="str">
        <f t="shared" si="778"/>
        <v>SPS4</v>
      </c>
      <c r="C1273" s="5" t="str">
        <f t="shared" si="776"/>
        <v>CH</v>
      </c>
      <c r="D1273" t="s">
        <v>1192</v>
      </c>
      <c r="E1273" t="str">
        <f t="shared" si="777"/>
        <v>km/MJ</v>
      </c>
      <c r="F1273" s="1">
        <f t="shared" si="780"/>
        <v>0.34392327890605662</v>
      </c>
      <c r="G1273" s="1">
        <f t="shared" si="780"/>
        <v>0.63951019771952178</v>
      </c>
      <c r="H1273" s="1">
        <f t="shared" si="780"/>
        <v>0.64743777319616491</v>
      </c>
      <c r="I1273" s="1">
        <f t="shared" si="780"/>
        <v>0.65177164792289177</v>
      </c>
      <c r="J1273" s="1">
        <f t="shared" si="780"/>
        <v>0.78693560024696096</v>
      </c>
      <c r="K1273" s="1">
        <f t="shared" si="780"/>
        <v>0.93744282611116403</v>
      </c>
    </row>
    <row r="1274" spans="2:11" x14ac:dyDescent="0.25">
      <c r="B1274" s="5" t="str">
        <f t="shared" si="778"/>
        <v>SPS4</v>
      </c>
      <c r="C1274" s="5" t="str">
        <f t="shared" si="776"/>
        <v>CH</v>
      </c>
      <c r="D1274" t="s">
        <v>1193</v>
      </c>
      <c r="E1274" t="str">
        <f t="shared" si="777"/>
        <v>km/MJ</v>
      </c>
      <c r="F1274" s="1">
        <f t="shared" si="780"/>
        <v>0.54979205163990941</v>
      </c>
      <c r="G1274" s="1">
        <f t="shared" si="780"/>
        <v>0.61233201142556626</v>
      </c>
      <c r="H1274" s="1">
        <f t="shared" si="780"/>
        <v>0.62626300802507728</v>
      </c>
      <c r="I1274" s="1">
        <f t="shared" si="780"/>
        <v>0.67374007825874016</v>
      </c>
      <c r="J1274" s="1">
        <f t="shared" si="780"/>
        <v>0.78101350015949922</v>
      </c>
      <c r="K1274" s="1">
        <f t="shared" si="780"/>
        <v>1.0173159750820466</v>
      </c>
    </row>
    <row r="1275" spans="2:11" x14ac:dyDescent="0.25">
      <c r="B1275" s="5" t="str">
        <f t="shared" si="778"/>
        <v>SPS4</v>
      </c>
      <c r="C1275" s="5" t="str">
        <f t="shared" si="776"/>
        <v>CH</v>
      </c>
      <c r="D1275" t="s">
        <v>1194</v>
      </c>
      <c r="E1275" t="str">
        <f t="shared" si="777"/>
        <v>km/MJ</v>
      </c>
      <c r="F1275" s="1">
        <f t="shared" si="780"/>
        <v>0.52694235667087497</v>
      </c>
      <c r="G1275" s="1">
        <f t="shared" si="780"/>
        <v>0.57893240719712225</v>
      </c>
      <c r="H1275" s="1">
        <f t="shared" si="780"/>
        <v>0.59120363020076017</v>
      </c>
      <c r="I1275" s="1">
        <f t="shared" si="780"/>
        <v>0.60518493593470468</v>
      </c>
      <c r="J1275" s="1">
        <f t="shared" si="780"/>
        <v>0.71768530422647969</v>
      </c>
      <c r="K1275" s="1">
        <f t="shared" si="780"/>
        <v>0.89653532014909276</v>
      </c>
    </row>
    <row r="1276" spans="2:11" x14ac:dyDescent="0.25">
      <c r="B1276" s="5" t="str">
        <f t="shared" si="778"/>
        <v>SPS4</v>
      </c>
      <c r="C1276" s="5" t="str">
        <f t="shared" si="776"/>
        <v>CH</v>
      </c>
      <c r="D1276" t="s">
        <v>1195</v>
      </c>
      <c r="E1276" t="str">
        <f t="shared" si="777"/>
        <v>km/MJ</v>
      </c>
      <c r="F1276" s="1" t="str">
        <f>IFERROR(F1225/F1151,"-")</f>
        <v>-</v>
      </c>
      <c r="G1276" s="1">
        <f t="shared" ref="G1276:K1276" si="781">IFERROR(G1225/G1151,"-")</f>
        <v>1.0965696656165198</v>
      </c>
      <c r="H1276" s="1">
        <f t="shared" si="781"/>
        <v>1.0965696656165209</v>
      </c>
      <c r="I1276" s="1">
        <f t="shared" si="781"/>
        <v>1.0965696656165178</v>
      </c>
      <c r="J1276" s="1">
        <f t="shared" si="781"/>
        <v>1.1894449229958108</v>
      </c>
      <c r="K1276" s="1">
        <f t="shared" si="781"/>
        <v>1.2402742353964598</v>
      </c>
    </row>
    <row r="1277" spans="2:11" x14ac:dyDescent="0.25">
      <c r="B1277" s="5" t="str">
        <f t="shared" si="778"/>
        <v>SPS4</v>
      </c>
      <c r="C1277" s="5" t="str">
        <f t="shared" si="776"/>
        <v>CH</v>
      </c>
      <c r="D1277" t="s">
        <v>1196</v>
      </c>
      <c r="E1277" t="str">
        <f t="shared" si="777"/>
        <v>km/MJ</v>
      </c>
      <c r="F1277" s="1">
        <f t="shared" ref="F1277:K1277" si="782">IFERROR(F1226/F1152,"-")</f>
        <v>0.89149519806162092</v>
      </c>
      <c r="G1277" s="1">
        <f t="shared" si="782"/>
        <v>0.89149519806162125</v>
      </c>
      <c r="H1277" s="1">
        <f t="shared" si="782"/>
        <v>0.89149519806162014</v>
      </c>
      <c r="I1277" s="1">
        <f t="shared" si="782"/>
        <v>0.89149519806161981</v>
      </c>
      <c r="J1277" s="1">
        <f t="shared" si="782"/>
        <v>0.97316655212875991</v>
      </c>
      <c r="K1277" s="1">
        <f t="shared" si="782"/>
        <v>1.0456110146872433</v>
      </c>
    </row>
    <row r="1278" spans="2:11" x14ac:dyDescent="0.25">
      <c r="B1278" s="5" t="str">
        <f t="shared" si="778"/>
        <v>SPS4</v>
      </c>
      <c r="C1278" s="5" t="str">
        <f t="shared" si="776"/>
        <v>CH</v>
      </c>
      <c r="D1278" t="s">
        <v>1197</v>
      </c>
      <c r="E1278" t="str">
        <f t="shared" si="777"/>
        <v>km/MJ</v>
      </c>
      <c r="F1278" s="1">
        <f t="shared" ref="F1278:K1278" si="783">IFERROR(F1227/F1153,"-")</f>
        <v>0.83000507256490685</v>
      </c>
      <c r="G1278" s="1">
        <f t="shared" si="783"/>
        <v>0.83000507256490397</v>
      </c>
      <c r="H1278" s="1">
        <f t="shared" si="783"/>
        <v>0.83000507256490486</v>
      </c>
      <c r="I1278" s="1">
        <f t="shared" si="783"/>
        <v>0.83000507256490497</v>
      </c>
      <c r="J1278" s="1">
        <f t="shared" si="783"/>
        <v>0.90869038113082268</v>
      </c>
      <c r="K1278" s="1">
        <f t="shared" si="783"/>
        <v>0.9889593685453697</v>
      </c>
    </row>
    <row r="1279" spans="2:11" x14ac:dyDescent="0.25">
      <c r="B1279" s="5" t="str">
        <f t="shared" si="778"/>
        <v>SPS4</v>
      </c>
      <c r="C1279" s="5" t="str">
        <f t="shared" si="776"/>
        <v>CH</v>
      </c>
      <c r="D1279" t="s">
        <v>1198</v>
      </c>
      <c r="E1279" t="str">
        <f t="shared" si="777"/>
        <v>km/MJ</v>
      </c>
      <c r="F1279" s="1" t="str">
        <f t="shared" ref="F1279:K1279" si="784">IFERROR(F1228/F1154,"-")</f>
        <v>-</v>
      </c>
      <c r="G1279" s="1">
        <f t="shared" si="784"/>
        <v>0.83675282096654213</v>
      </c>
      <c r="H1279" s="1">
        <f t="shared" si="784"/>
        <v>0.83675282096654269</v>
      </c>
      <c r="I1279" s="1">
        <f t="shared" si="784"/>
        <v>0.83675282096654291</v>
      </c>
      <c r="J1279" s="1">
        <f t="shared" si="784"/>
        <v>0.92178047632022686</v>
      </c>
      <c r="K1279" s="1">
        <f t="shared" si="784"/>
        <v>1.0373247322858989</v>
      </c>
    </row>
    <row r="1280" spans="2:11" x14ac:dyDescent="0.25">
      <c r="B1280" s="5" t="str">
        <f t="shared" si="778"/>
        <v>SPS4</v>
      </c>
      <c r="C1280" s="5" t="str">
        <f t="shared" si="776"/>
        <v>CH</v>
      </c>
      <c r="D1280" t="s">
        <v>1233</v>
      </c>
      <c r="E1280" t="str">
        <f t="shared" si="777"/>
        <v>km/MJ</v>
      </c>
      <c r="F1280" s="1">
        <f t="shared" ref="F1280:K1293" si="785">IFERROR(F1229/F1160,"-")</f>
        <v>0.49379534694678318</v>
      </c>
      <c r="G1280" s="1">
        <f t="shared" si="785"/>
        <v>0.50503220860251341</v>
      </c>
      <c r="H1280" s="1">
        <f t="shared" si="785"/>
        <v>0.52188750108610926</v>
      </c>
      <c r="I1280" s="1">
        <f t="shared" si="785"/>
        <v>0.54997965522543601</v>
      </c>
      <c r="J1280" s="1" t="str">
        <f t="shared" si="785"/>
        <v>-</v>
      </c>
      <c r="K1280" s="1" t="str">
        <f t="shared" si="785"/>
        <v>-</v>
      </c>
    </row>
    <row r="1281" spans="2:11" x14ac:dyDescent="0.25">
      <c r="B1281" s="5" t="str">
        <f t="shared" si="778"/>
        <v>SPS4</v>
      </c>
      <c r="C1281" s="5" t="str">
        <f t="shared" si="776"/>
        <v>CH</v>
      </c>
      <c r="D1281" t="s">
        <v>1199</v>
      </c>
      <c r="E1281" t="str">
        <f t="shared" si="777"/>
        <v>km/MJ</v>
      </c>
      <c r="F1281" s="1">
        <f t="shared" si="785"/>
        <v>1.1347791810959589</v>
      </c>
      <c r="G1281" s="1">
        <f t="shared" si="785"/>
        <v>1.157777661850163</v>
      </c>
      <c r="H1281" s="1">
        <f t="shared" si="785"/>
        <v>1.1547621546454023</v>
      </c>
      <c r="I1281" s="1">
        <f t="shared" si="785"/>
        <v>1.1994796015171041</v>
      </c>
      <c r="J1281" s="1">
        <f t="shared" si="785"/>
        <v>0.94569642718063884</v>
      </c>
      <c r="K1281" s="1">
        <f t="shared" si="785"/>
        <v>0.95211483982465583</v>
      </c>
    </row>
    <row r="1282" spans="2:11" x14ac:dyDescent="0.25">
      <c r="B1282" s="5" t="str">
        <f t="shared" si="778"/>
        <v>SPS4</v>
      </c>
      <c r="C1282" s="5" t="str">
        <f t="shared" si="776"/>
        <v>CH</v>
      </c>
      <c r="D1282" t="s">
        <v>1200</v>
      </c>
      <c r="E1282" t="str">
        <f t="shared" si="777"/>
        <v>km/MJ</v>
      </c>
      <c r="F1282" s="1">
        <f t="shared" si="785"/>
        <v>1.622337316507221</v>
      </c>
      <c r="G1282" s="1">
        <f t="shared" si="785"/>
        <v>1.8954298668030176</v>
      </c>
      <c r="H1282" s="1">
        <f t="shared" si="785"/>
        <v>1.8737445964575135</v>
      </c>
      <c r="I1282" s="1">
        <f t="shared" si="785"/>
        <v>1.9177240637578816</v>
      </c>
      <c r="J1282" s="1">
        <f t="shared" si="785"/>
        <v>0.78396727898498775</v>
      </c>
      <c r="K1282" s="1">
        <f t="shared" si="785"/>
        <v>0.86653653676996656</v>
      </c>
    </row>
    <row r="1283" spans="2:11" x14ac:dyDescent="0.25">
      <c r="B1283" s="5" t="str">
        <f t="shared" si="778"/>
        <v>SPS4</v>
      </c>
      <c r="C1283" s="5" t="str">
        <f t="shared" si="776"/>
        <v>CH</v>
      </c>
      <c r="D1283" t="s">
        <v>1201</v>
      </c>
      <c r="E1283" t="str">
        <f t="shared" si="777"/>
        <v>km/MJ</v>
      </c>
      <c r="F1283" s="1">
        <f t="shared" si="785"/>
        <v>1.9940353380555533</v>
      </c>
      <c r="G1283" s="1">
        <f t="shared" si="785"/>
        <v>2.5017309101559286</v>
      </c>
      <c r="H1283" s="1">
        <f t="shared" si="785"/>
        <v>2.499451608772401</v>
      </c>
      <c r="I1283" s="1">
        <f t="shared" si="785"/>
        <v>2.5135778282641037</v>
      </c>
      <c r="J1283" s="1">
        <f t="shared" si="785"/>
        <v>0.71833420468600662</v>
      </c>
      <c r="K1283" s="1">
        <f t="shared" si="785"/>
        <v>0.75331560765915795</v>
      </c>
    </row>
    <row r="1284" spans="2:11" x14ac:dyDescent="0.25">
      <c r="B1284" s="5" t="str">
        <f t="shared" si="778"/>
        <v>SPS4</v>
      </c>
      <c r="C1284" s="5" t="str">
        <f t="shared" si="776"/>
        <v>CH</v>
      </c>
      <c r="D1284" t="s">
        <v>1202</v>
      </c>
      <c r="E1284" t="str">
        <f t="shared" si="777"/>
        <v>km/MJ</v>
      </c>
      <c r="F1284" s="1">
        <f t="shared" si="785"/>
        <v>1.148703100537998</v>
      </c>
      <c r="G1284" s="1">
        <f t="shared" si="785"/>
        <v>1.3260137925588389</v>
      </c>
      <c r="H1284" s="1">
        <f t="shared" si="785"/>
        <v>1.321440045796211</v>
      </c>
      <c r="I1284" s="1">
        <f t="shared" si="785"/>
        <v>1.3357421734409121</v>
      </c>
      <c r="J1284" s="1">
        <f t="shared" si="785"/>
        <v>0.70191896105882112</v>
      </c>
      <c r="K1284" s="1">
        <f t="shared" si="785"/>
        <v>0.76424807568636222</v>
      </c>
    </row>
    <row r="1285" spans="2:11" x14ac:dyDescent="0.25">
      <c r="B1285" s="5" t="str">
        <f t="shared" si="778"/>
        <v>SPS4</v>
      </c>
      <c r="C1285" s="5" t="str">
        <f t="shared" si="776"/>
        <v>CH</v>
      </c>
      <c r="D1285" t="s">
        <v>1203</v>
      </c>
      <c r="E1285" t="str">
        <f t="shared" si="777"/>
        <v>km/MJ</v>
      </c>
      <c r="F1285" s="1">
        <f t="shared" si="785"/>
        <v>0.28603940550919482</v>
      </c>
      <c r="G1285" s="1">
        <f t="shared" si="785"/>
        <v>0.29254854993039708</v>
      </c>
      <c r="H1285" s="1">
        <f t="shared" si="785"/>
        <v>0.30231226656220045</v>
      </c>
      <c r="I1285" s="1">
        <f t="shared" si="785"/>
        <v>0.31858512761520624</v>
      </c>
      <c r="J1285" s="1" t="str">
        <f t="shared" si="785"/>
        <v>-</v>
      </c>
      <c r="K1285" s="1" t="str">
        <f t="shared" si="785"/>
        <v>-</v>
      </c>
    </row>
    <row r="1286" spans="2:11" x14ac:dyDescent="0.25">
      <c r="B1286" s="5" t="str">
        <f t="shared" si="778"/>
        <v>SPS4</v>
      </c>
      <c r="C1286" s="5" t="str">
        <f t="shared" si="776"/>
        <v>CH</v>
      </c>
      <c r="D1286" t="s">
        <v>1204</v>
      </c>
      <c r="E1286" t="str">
        <f t="shared" si="777"/>
        <v>km/MJ</v>
      </c>
      <c r="F1286" s="1">
        <f t="shared" si="785"/>
        <v>0.68585536190246721</v>
      </c>
      <c r="G1286" s="1">
        <f t="shared" si="785"/>
        <v>0.67614018462292558</v>
      </c>
      <c r="H1286" s="1">
        <f t="shared" si="785"/>
        <v>0.67628586313170769</v>
      </c>
      <c r="I1286" s="1">
        <f t="shared" si="785"/>
        <v>0.68355622983509923</v>
      </c>
      <c r="J1286" s="1">
        <f t="shared" si="785"/>
        <v>0.61696027460259084</v>
      </c>
      <c r="K1286" s="1">
        <f t="shared" si="785"/>
        <v>0.6792498149277566</v>
      </c>
    </row>
    <row r="1287" spans="2:11" x14ac:dyDescent="0.25">
      <c r="B1287" s="5" t="str">
        <f t="shared" si="778"/>
        <v>SPS4</v>
      </c>
      <c r="C1287" s="5" t="str">
        <f t="shared" si="776"/>
        <v>CH</v>
      </c>
      <c r="D1287" t="s">
        <v>1205</v>
      </c>
      <c r="E1287" t="str">
        <f t="shared" si="777"/>
        <v>km/MJ</v>
      </c>
      <c r="F1287" s="1">
        <f t="shared" si="785"/>
        <v>0.60560433142706127</v>
      </c>
      <c r="G1287" s="1">
        <f t="shared" si="785"/>
        <v>0.60445841101049314</v>
      </c>
      <c r="H1287" s="1">
        <f t="shared" si="785"/>
        <v>0.60446771510060704</v>
      </c>
      <c r="I1287" s="1">
        <f t="shared" si="785"/>
        <v>0.60924330914569524</v>
      </c>
      <c r="J1287" s="1">
        <f t="shared" si="785"/>
        <v>0.51348649788148093</v>
      </c>
      <c r="K1287" s="1">
        <f t="shared" si="785"/>
        <v>0.54575569512085031</v>
      </c>
    </row>
    <row r="1288" spans="2:11" x14ac:dyDescent="0.25">
      <c r="B1288" s="5" t="str">
        <f t="shared" si="778"/>
        <v>SPS4</v>
      </c>
      <c r="C1288" s="5" t="str">
        <f t="shared" si="776"/>
        <v>CH</v>
      </c>
      <c r="D1288" t="s">
        <v>1206</v>
      </c>
      <c r="E1288" t="str">
        <f t="shared" si="777"/>
        <v>km/MJ</v>
      </c>
      <c r="F1288" s="1">
        <f t="shared" si="785"/>
        <v>0.5153102339596517</v>
      </c>
      <c r="G1288" s="1">
        <f t="shared" si="785"/>
        <v>0.51602762272550673</v>
      </c>
      <c r="H1288" s="1">
        <f t="shared" si="785"/>
        <v>0.50931738303968921</v>
      </c>
      <c r="I1288" s="1">
        <f t="shared" si="785"/>
        <v>0.51215789686866409</v>
      </c>
      <c r="J1288" s="1">
        <f t="shared" si="785"/>
        <v>0.48163723768970423</v>
      </c>
      <c r="K1288" s="1">
        <f t="shared" si="785"/>
        <v>0.51305743083895539</v>
      </c>
    </row>
    <row r="1289" spans="2:11" x14ac:dyDescent="0.25">
      <c r="B1289" s="5" t="str">
        <f t="shared" si="778"/>
        <v>SPS4</v>
      </c>
      <c r="C1289" s="5" t="str">
        <f t="shared" si="776"/>
        <v>CH</v>
      </c>
      <c r="D1289" t="s">
        <v>1207</v>
      </c>
      <c r="E1289" t="str">
        <f t="shared" si="777"/>
        <v>km/MJ</v>
      </c>
      <c r="F1289" s="1">
        <f t="shared" si="785"/>
        <v>0.43987783371075562</v>
      </c>
      <c r="G1289" s="1">
        <f t="shared" si="785"/>
        <v>0.43335921601787553</v>
      </c>
      <c r="H1289" s="1">
        <f t="shared" si="785"/>
        <v>0.43405831546169643</v>
      </c>
      <c r="I1289" s="1">
        <f t="shared" si="785"/>
        <v>0.43656742760387512</v>
      </c>
      <c r="J1289" s="1">
        <f t="shared" si="785"/>
        <v>0.47537825830188629</v>
      </c>
      <c r="K1289" s="1">
        <f t="shared" si="785"/>
        <v>0.55668532955132577</v>
      </c>
    </row>
    <row r="1290" spans="2:11" x14ac:dyDescent="0.25">
      <c r="B1290" s="5" t="str">
        <f t="shared" si="778"/>
        <v>SPS4</v>
      </c>
      <c r="C1290" s="5" t="str">
        <f t="shared" si="776"/>
        <v>CH</v>
      </c>
      <c r="D1290" t="s">
        <v>1208</v>
      </c>
      <c r="E1290" t="str">
        <f t="shared" si="777"/>
        <v>km/MJ</v>
      </c>
      <c r="F1290" s="1" t="str">
        <f t="shared" si="785"/>
        <v>-</v>
      </c>
      <c r="G1290" s="1">
        <f t="shared" si="785"/>
        <v>0.51837627625535221</v>
      </c>
      <c r="H1290" s="1">
        <f t="shared" si="785"/>
        <v>0.55253952352423041</v>
      </c>
      <c r="I1290" s="1">
        <f t="shared" si="785"/>
        <v>0.55267752800881098</v>
      </c>
      <c r="J1290" s="1">
        <f t="shared" si="785"/>
        <v>0.55456424008352223</v>
      </c>
      <c r="K1290" s="1">
        <f t="shared" si="785"/>
        <v>0.74196426969645579</v>
      </c>
    </row>
    <row r="1291" spans="2:11" x14ac:dyDescent="0.25">
      <c r="B1291" s="5" t="str">
        <f t="shared" si="778"/>
        <v>SPS4</v>
      </c>
      <c r="C1291" s="5" t="str">
        <f t="shared" si="776"/>
        <v>CH</v>
      </c>
      <c r="D1291" t="s">
        <v>1209</v>
      </c>
      <c r="E1291" t="str">
        <f t="shared" si="777"/>
        <v>km/MJ</v>
      </c>
      <c r="F1291" s="1" t="str">
        <f t="shared" si="785"/>
        <v>-</v>
      </c>
      <c r="G1291" s="1">
        <f t="shared" si="785"/>
        <v>0.41733711223535042</v>
      </c>
      <c r="H1291" s="1">
        <f t="shared" si="785"/>
        <v>0.44466848017465233</v>
      </c>
      <c r="I1291" s="1">
        <f t="shared" si="785"/>
        <v>0.47783861426641067</v>
      </c>
      <c r="J1291" s="1">
        <f t="shared" si="785"/>
        <v>0.53340274590232739</v>
      </c>
      <c r="K1291" s="1">
        <f t="shared" si="785"/>
        <v>0.61843094056668246</v>
      </c>
    </row>
    <row r="1292" spans="2:11" x14ac:dyDescent="0.25">
      <c r="B1292" s="5" t="str">
        <f t="shared" si="778"/>
        <v>SPS4</v>
      </c>
      <c r="C1292" s="5" t="str">
        <f t="shared" si="776"/>
        <v>CH</v>
      </c>
      <c r="D1292" t="s">
        <v>1210</v>
      </c>
      <c r="E1292" t="str">
        <f t="shared" si="777"/>
        <v>km/MJ</v>
      </c>
      <c r="F1292" s="1" t="str">
        <f t="shared" si="785"/>
        <v>-</v>
      </c>
      <c r="G1292" s="1">
        <f t="shared" si="785"/>
        <v>0.38796990995538666</v>
      </c>
      <c r="H1292" s="1">
        <f t="shared" si="785"/>
        <v>0.41330020710966381</v>
      </c>
      <c r="I1292" s="1">
        <f t="shared" si="785"/>
        <v>0.44313430539883042</v>
      </c>
      <c r="J1292" s="1">
        <f t="shared" si="785"/>
        <v>0.50616618209835684</v>
      </c>
      <c r="K1292" s="1">
        <f t="shared" si="785"/>
        <v>0.59170906444917504</v>
      </c>
    </row>
    <row r="1293" spans="2:11" x14ac:dyDescent="0.25">
      <c r="B1293" s="5" t="str">
        <f t="shared" si="778"/>
        <v>SPS4</v>
      </c>
      <c r="C1293" s="5" t="str">
        <f t="shared" si="776"/>
        <v>CH</v>
      </c>
      <c r="D1293" t="s">
        <v>1211</v>
      </c>
      <c r="E1293" t="str">
        <f t="shared" si="777"/>
        <v>km/MJ</v>
      </c>
      <c r="F1293" s="1" t="str">
        <f t="shared" si="785"/>
        <v>-</v>
      </c>
      <c r="G1293" s="1">
        <f t="shared" si="785"/>
        <v>0.39332458747711396</v>
      </c>
      <c r="H1293" s="1">
        <f t="shared" si="785"/>
        <v>0.41892616508089253</v>
      </c>
      <c r="I1293" s="1">
        <f t="shared" si="785"/>
        <v>0.46430817009913011</v>
      </c>
      <c r="J1293" s="1">
        <f t="shared" si="785"/>
        <v>0.52928940430501947</v>
      </c>
      <c r="K1293" s="1">
        <f t="shared" si="785"/>
        <v>0.65884210178049263</v>
      </c>
    </row>
    <row r="1294" spans="2:11" x14ac:dyDescent="0.25">
      <c r="B1294" s="5" t="str">
        <f t="shared" si="778"/>
        <v>SPS4</v>
      </c>
      <c r="C1294" s="5" t="str">
        <f t="shared" si="776"/>
        <v>CH</v>
      </c>
      <c r="D1294" t="s">
        <v>1235</v>
      </c>
      <c r="E1294" t="str">
        <f t="shared" si="777"/>
        <v>km/MJ</v>
      </c>
      <c r="F1294" s="1" t="str">
        <f t="shared" ref="F1294:K1307" si="786">IFERROR(F1243/F1183,"-")</f>
        <v>-</v>
      </c>
      <c r="G1294" s="1" t="str">
        <f t="shared" si="786"/>
        <v>-</v>
      </c>
      <c r="H1294" s="1" t="str">
        <f t="shared" si="786"/>
        <v>-</v>
      </c>
      <c r="I1294" s="1" t="str">
        <f t="shared" si="786"/>
        <v>-</v>
      </c>
      <c r="J1294" s="1" t="str">
        <f t="shared" si="786"/>
        <v>-</v>
      </c>
      <c r="K1294" s="1" t="str">
        <f t="shared" si="786"/>
        <v>-</v>
      </c>
    </row>
    <row r="1295" spans="2:11" x14ac:dyDescent="0.25">
      <c r="B1295" s="5" t="str">
        <f t="shared" si="778"/>
        <v>SPS4</v>
      </c>
      <c r="C1295" s="5" t="str">
        <f t="shared" si="776"/>
        <v>CH</v>
      </c>
      <c r="D1295" t="s">
        <v>1212</v>
      </c>
      <c r="E1295" t="str">
        <f t="shared" si="777"/>
        <v>km/MJ</v>
      </c>
      <c r="F1295" s="1">
        <f t="shared" si="786"/>
        <v>0.41824117647058806</v>
      </c>
      <c r="G1295" s="1">
        <f t="shared" si="786"/>
        <v>1.4477666647205854</v>
      </c>
      <c r="H1295" s="1">
        <f t="shared" si="786"/>
        <v>1.3910109039936711</v>
      </c>
      <c r="I1295" s="1">
        <f t="shared" si="786"/>
        <v>1.2571593113102693</v>
      </c>
      <c r="J1295" s="1">
        <f t="shared" si="786"/>
        <v>0.93153241381264462</v>
      </c>
      <c r="K1295" s="1">
        <f t="shared" si="786"/>
        <v>0.93592304019347528</v>
      </c>
    </row>
    <row r="1296" spans="2:11" x14ac:dyDescent="0.25">
      <c r="B1296" s="5" t="str">
        <f t="shared" si="778"/>
        <v>SPS4</v>
      </c>
      <c r="C1296" s="5" t="str">
        <f t="shared" si="776"/>
        <v>CH</v>
      </c>
      <c r="D1296" t="s">
        <v>1213</v>
      </c>
      <c r="E1296" t="str">
        <f t="shared" si="777"/>
        <v>km/MJ</v>
      </c>
      <c r="F1296" s="1">
        <f t="shared" si="786"/>
        <v>1.1721160342935415</v>
      </c>
      <c r="G1296" s="1">
        <f t="shared" si="786"/>
        <v>2.6814718402573865</v>
      </c>
      <c r="H1296" s="1">
        <f t="shared" si="786"/>
        <v>2.3537096773367567</v>
      </c>
      <c r="I1296" s="1">
        <f t="shared" si="786"/>
        <v>2.336196472732758</v>
      </c>
      <c r="J1296" s="1">
        <f t="shared" si="786"/>
        <v>0.8826026520301864</v>
      </c>
      <c r="K1296" s="1">
        <f t="shared" si="786"/>
        <v>0.87818876500440568</v>
      </c>
    </row>
    <row r="1297" spans="2:11" x14ac:dyDescent="0.25">
      <c r="B1297" s="5" t="str">
        <f t="shared" si="778"/>
        <v>SPS4</v>
      </c>
      <c r="C1297" s="5" t="str">
        <f t="shared" si="776"/>
        <v>CH</v>
      </c>
      <c r="D1297" t="s">
        <v>1214</v>
      </c>
      <c r="E1297" t="str">
        <f t="shared" si="777"/>
        <v>km/MJ</v>
      </c>
      <c r="F1297" s="1">
        <f t="shared" si="786"/>
        <v>0.89402299054008227</v>
      </c>
      <c r="G1297" s="1">
        <f t="shared" si="786"/>
        <v>1.1869213728964851</v>
      </c>
      <c r="H1297" s="1">
        <f t="shared" si="786"/>
        <v>1.1825600567960357</v>
      </c>
      <c r="I1297" s="1">
        <f t="shared" si="786"/>
        <v>1.253879668035631</v>
      </c>
      <c r="J1297" s="1">
        <f t="shared" si="786"/>
        <v>0.71086980635387254</v>
      </c>
      <c r="K1297" s="1">
        <f t="shared" si="786"/>
        <v>0.75286673101431389</v>
      </c>
    </row>
    <row r="1298" spans="2:11" x14ac:dyDescent="0.25">
      <c r="B1298" s="5" t="str">
        <f t="shared" si="778"/>
        <v>SPS4</v>
      </c>
      <c r="C1298" s="5" t="str">
        <f t="shared" si="776"/>
        <v>CH</v>
      </c>
      <c r="D1298" t="s">
        <v>1215</v>
      </c>
      <c r="E1298" t="str">
        <f t="shared" si="777"/>
        <v>km/MJ</v>
      </c>
      <c r="F1298" s="1">
        <f t="shared" si="786"/>
        <v>1.34535451080532</v>
      </c>
      <c r="G1298" s="1">
        <f t="shared" si="786"/>
        <v>1.5777658644420882</v>
      </c>
      <c r="H1298" s="1">
        <f t="shared" si="786"/>
        <v>1.5868262650386566</v>
      </c>
      <c r="I1298" s="1">
        <f t="shared" si="786"/>
        <v>1.6204404324044324</v>
      </c>
      <c r="J1298" s="1">
        <f t="shared" si="786"/>
        <v>0.70187246844778539</v>
      </c>
      <c r="K1298" s="1">
        <f t="shared" si="786"/>
        <v>0.76412755308460756</v>
      </c>
    </row>
    <row r="1299" spans="2:11" x14ac:dyDescent="0.25">
      <c r="B1299" s="5" t="str">
        <f t="shared" si="778"/>
        <v>SPS4</v>
      </c>
      <c r="C1299" s="5" t="str">
        <f t="shared" si="776"/>
        <v>CH</v>
      </c>
      <c r="D1299" t="s">
        <v>1216</v>
      </c>
      <c r="E1299" t="str">
        <f t="shared" si="777"/>
        <v>km/MJ</v>
      </c>
      <c r="F1299" s="1">
        <f t="shared" si="786"/>
        <v>0.33901850024086028</v>
      </c>
      <c r="G1299" s="1">
        <f t="shared" si="786"/>
        <v>0.35391427166601064</v>
      </c>
      <c r="H1299" s="1">
        <f t="shared" si="786"/>
        <v>0.37625792880373699</v>
      </c>
      <c r="I1299" s="1">
        <f t="shared" si="786"/>
        <v>0.41349735736661464</v>
      </c>
      <c r="J1299" s="1" t="str">
        <f t="shared" si="786"/>
        <v>-</v>
      </c>
      <c r="K1299" s="1" t="str">
        <f t="shared" si="786"/>
        <v>-</v>
      </c>
    </row>
    <row r="1300" spans="2:11" x14ac:dyDescent="0.25">
      <c r="B1300" s="5" t="str">
        <f t="shared" si="778"/>
        <v>SPS4</v>
      </c>
      <c r="C1300" s="5" t="str">
        <f t="shared" si="776"/>
        <v>CH</v>
      </c>
      <c r="D1300" t="s">
        <v>1217</v>
      </c>
      <c r="E1300" t="str">
        <f t="shared" si="777"/>
        <v>km/MJ</v>
      </c>
      <c r="F1300" s="1">
        <f t="shared" si="786"/>
        <v>0.7499620024201602</v>
      </c>
      <c r="G1300" s="1">
        <f t="shared" si="786"/>
        <v>0.76512236027614167</v>
      </c>
      <c r="H1300" s="1">
        <f t="shared" si="786"/>
        <v>0.76923767392175491</v>
      </c>
      <c r="I1300" s="1">
        <f t="shared" si="786"/>
        <v>0.7854569280199839</v>
      </c>
      <c r="J1300" s="1">
        <f t="shared" si="786"/>
        <v>0.66814916182568962</v>
      </c>
      <c r="K1300" s="1">
        <f t="shared" si="786"/>
        <v>0.69927490779462675</v>
      </c>
    </row>
    <row r="1301" spans="2:11" x14ac:dyDescent="0.25">
      <c r="B1301" s="5" t="str">
        <f t="shared" si="778"/>
        <v>SPS4</v>
      </c>
      <c r="C1301" s="5" t="str">
        <f t="shared" si="776"/>
        <v>CH</v>
      </c>
      <c r="D1301" t="s">
        <v>1218</v>
      </c>
      <c r="E1301" t="str">
        <f t="shared" si="777"/>
        <v>km/MJ</v>
      </c>
      <c r="F1301" s="1">
        <f t="shared" si="786"/>
        <v>0.69635467495412762</v>
      </c>
      <c r="G1301" s="1">
        <f t="shared" si="786"/>
        <v>0.7037397997105842</v>
      </c>
      <c r="H1301" s="1">
        <f t="shared" si="786"/>
        <v>0.73493241197863213</v>
      </c>
      <c r="I1301" s="1">
        <f t="shared" si="786"/>
        <v>0.73375060508316603</v>
      </c>
      <c r="J1301" s="1">
        <f t="shared" si="786"/>
        <v>0.53366007981548058</v>
      </c>
      <c r="K1301" s="1">
        <f t="shared" si="786"/>
        <v>0.56393270236165738</v>
      </c>
    </row>
    <row r="1302" spans="2:11" x14ac:dyDescent="0.25">
      <c r="B1302" s="5" t="str">
        <f t="shared" si="778"/>
        <v>SPS4</v>
      </c>
      <c r="C1302" s="5" t="str">
        <f t="shared" si="776"/>
        <v>CH</v>
      </c>
      <c r="D1302" t="s">
        <v>1219</v>
      </c>
      <c r="E1302" t="str">
        <f t="shared" si="777"/>
        <v>km/MJ</v>
      </c>
      <c r="F1302" s="1">
        <f t="shared" si="786"/>
        <v>0.52783355200218895</v>
      </c>
      <c r="G1302" s="1">
        <f t="shared" si="786"/>
        <v>0.53241750668307131</v>
      </c>
      <c r="H1302" s="1">
        <f t="shared" si="786"/>
        <v>0.53195261307592689</v>
      </c>
      <c r="I1302" s="1">
        <f t="shared" si="786"/>
        <v>0.54121114233487033</v>
      </c>
      <c r="J1302" s="1">
        <f t="shared" si="786"/>
        <v>0.49097995532863964</v>
      </c>
      <c r="K1302" s="1">
        <f t="shared" si="786"/>
        <v>0.52917538947064269</v>
      </c>
    </row>
    <row r="1303" spans="2:11" x14ac:dyDescent="0.25">
      <c r="B1303" s="5" t="str">
        <f t="shared" si="778"/>
        <v>SPS4</v>
      </c>
      <c r="C1303" s="5" t="str">
        <f t="shared" si="776"/>
        <v>CH</v>
      </c>
      <c r="D1303" t="s">
        <v>1220</v>
      </c>
      <c r="E1303" t="str">
        <f t="shared" si="777"/>
        <v>km/MJ</v>
      </c>
      <c r="F1303" s="1">
        <f t="shared" si="786"/>
        <v>0.46601656578791956</v>
      </c>
      <c r="G1303" s="1">
        <f t="shared" si="786"/>
        <v>0.45575012547122645</v>
      </c>
      <c r="H1303" s="1">
        <f t="shared" si="786"/>
        <v>0.45677174069911447</v>
      </c>
      <c r="I1303" s="1">
        <f t="shared" si="786"/>
        <v>0.46319661028885989</v>
      </c>
      <c r="J1303" s="1">
        <f t="shared" si="786"/>
        <v>0.46106274305589701</v>
      </c>
      <c r="K1303" s="1">
        <f t="shared" si="786"/>
        <v>0.50174487519605437</v>
      </c>
    </row>
    <row r="1304" spans="2:11" x14ac:dyDescent="0.25">
      <c r="B1304" s="5" t="str">
        <f t="shared" si="778"/>
        <v>SPS4</v>
      </c>
      <c r="C1304" s="5" t="str">
        <f t="shared" si="776"/>
        <v>CH</v>
      </c>
      <c r="D1304" t="s">
        <v>1221</v>
      </c>
      <c r="E1304" t="str">
        <f t="shared" si="777"/>
        <v>km/MJ</v>
      </c>
      <c r="F1304" s="1" t="str">
        <f t="shared" si="786"/>
        <v>-</v>
      </c>
      <c r="G1304" s="1">
        <f t="shared" si="786"/>
        <v>0.56203544748554624</v>
      </c>
      <c r="H1304" s="1">
        <f t="shared" si="786"/>
        <v>0.5924475329554465</v>
      </c>
      <c r="I1304" s="1">
        <f t="shared" si="786"/>
        <v>0.63294273513398724</v>
      </c>
      <c r="J1304" s="1">
        <f t="shared" si="786"/>
        <v>0.6404846958904642</v>
      </c>
      <c r="K1304" s="1">
        <f t="shared" si="786"/>
        <v>0.74711817718205997</v>
      </c>
    </row>
    <row r="1305" spans="2:11" x14ac:dyDescent="0.25">
      <c r="B1305" s="5" t="str">
        <f t="shared" si="778"/>
        <v>SPS4</v>
      </c>
      <c r="C1305" s="5" t="str">
        <f t="shared" si="776"/>
        <v>CH</v>
      </c>
      <c r="D1305" t="s">
        <v>1222</v>
      </c>
      <c r="E1305" t="str">
        <f t="shared" si="777"/>
        <v>km/MJ</v>
      </c>
      <c r="F1305" s="1" t="str">
        <f t="shared" si="786"/>
        <v>-</v>
      </c>
      <c r="G1305" s="1">
        <f t="shared" si="786"/>
        <v>0.45210145766281468</v>
      </c>
      <c r="H1305" s="1">
        <f t="shared" si="786"/>
        <v>0.47653877023576269</v>
      </c>
      <c r="I1305" s="1">
        <f t="shared" si="786"/>
        <v>0.52061369134595226</v>
      </c>
      <c r="J1305" s="1">
        <f t="shared" si="786"/>
        <v>0.52858328704294433</v>
      </c>
      <c r="K1305" s="1">
        <f t="shared" si="786"/>
        <v>0.62964443866289754</v>
      </c>
    </row>
    <row r="1306" spans="2:11" x14ac:dyDescent="0.25">
      <c r="B1306" s="5" t="str">
        <f t="shared" si="778"/>
        <v>SPS4</v>
      </c>
      <c r="C1306" s="5" t="str">
        <f t="shared" si="776"/>
        <v>CH</v>
      </c>
      <c r="D1306" t="s">
        <v>1223</v>
      </c>
      <c r="E1306" t="str">
        <f t="shared" si="777"/>
        <v>km/MJ</v>
      </c>
      <c r="F1306" s="1" t="str">
        <f t="shared" si="786"/>
        <v>-</v>
      </c>
      <c r="G1306" s="1">
        <f t="shared" si="786"/>
        <v>0.42028149632876893</v>
      </c>
      <c r="H1306" s="1">
        <f t="shared" si="786"/>
        <v>0.44294028273229064</v>
      </c>
      <c r="I1306" s="1">
        <f t="shared" si="786"/>
        <v>0.48539374152210074</v>
      </c>
      <c r="J1306" s="1">
        <f t="shared" si="786"/>
        <v>0.56729939751572989</v>
      </c>
      <c r="K1306" s="1">
        <f t="shared" si="786"/>
        <v>0.67069267763239038</v>
      </c>
    </row>
    <row r="1307" spans="2:11" x14ac:dyDescent="0.25">
      <c r="B1307" s="5" t="str">
        <f t="shared" si="778"/>
        <v>SPS4</v>
      </c>
      <c r="C1307" s="5" t="str">
        <f t="shared" si="776"/>
        <v>CH</v>
      </c>
      <c r="D1307" t="s">
        <v>1224</v>
      </c>
      <c r="E1307" t="str">
        <f t="shared" si="777"/>
        <v>km/MJ</v>
      </c>
      <c r="F1307" s="1" t="str">
        <f t="shared" si="786"/>
        <v>-</v>
      </c>
      <c r="G1307" s="1">
        <f t="shared" si="786"/>
        <v>0.39943403925494769</v>
      </c>
      <c r="H1307" s="1">
        <f t="shared" si="786"/>
        <v>0.41840458219274507</v>
      </c>
      <c r="I1307" s="1">
        <f t="shared" si="786"/>
        <v>0.43923191153898311</v>
      </c>
      <c r="J1307" s="1">
        <f t="shared" si="786"/>
        <v>0.51562278277529261</v>
      </c>
      <c r="K1307" s="1">
        <f t="shared" si="786"/>
        <v>0.59243473295184435</v>
      </c>
    </row>
    <row r="1308" spans="2:11" x14ac:dyDescent="0.25">
      <c r="B1308" s="5" t="str">
        <f t="shared" si="778"/>
        <v>SPS4</v>
      </c>
      <c r="C1308" s="5" t="str">
        <f t="shared" si="776"/>
        <v>CH</v>
      </c>
      <c r="D1308" t="s">
        <v>1225</v>
      </c>
      <c r="E1308" t="str">
        <f t="shared" si="777"/>
        <v>km/MJ</v>
      </c>
      <c r="F1308" s="1" t="str">
        <f>IFERROR(F1257/F1206,"-")</f>
        <v>-</v>
      </c>
      <c r="G1308" s="1">
        <f t="shared" ref="G1308:K1312" si="787">IFERROR(G1257/G1197,"-")</f>
        <v>0</v>
      </c>
      <c r="H1308" s="1">
        <f t="shared" si="787"/>
        <v>0</v>
      </c>
      <c r="I1308" s="1">
        <f t="shared" si="787"/>
        <v>0</v>
      </c>
      <c r="J1308" s="1">
        <f t="shared" si="787"/>
        <v>0</v>
      </c>
      <c r="K1308" s="1">
        <f t="shared" si="787"/>
        <v>0</v>
      </c>
    </row>
    <row r="1309" spans="2:11" x14ac:dyDescent="0.25">
      <c r="B1309" s="5" t="str">
        <f t="shared" si="778"/>
        <v>SPS4</v>
      </c>
      <c r="C1309" s="5" t="str">
        <f t="shared" si="776"/>
        <v>CH</v>
      </c>
      <c r="D1309" t="s">
        <v>1226</v>
      </c>
      <c r="E1309" t="str">
        <f t="shared" si="777"/>
        <v>km/MJ</v>
      </c>
      <c r="F1309" s="1">
        <f>IFERROR(F1258/F1207,"-")</f>
        <v>0.6154434597614149</v>
      </c>
      <c r="G1309" s="1">
        <f t="shared" si="787"/>
        <v>0.82413157212689891</v>
      </c>
      <c r="H1309" s="1">
        <f t="shared" si="787"/>
        <v>0.22173041679256172</v>
      </c>
      <c r="I1309" s="1">
        <f t="shared" si="787"/>
        <v>3.5514491272049163E-2</v>
      </c>
      <c r="J1309" s="1">
        <f t="shared" si="787"/>
        <v>1.6920299041718777E-2</v>
      </c>
      <c r="K1309" s="1">
        <f t="shared" si="787"/>
        <v>2.6131410041536286E-2</v>
      </c>
    </row>
    <row r="1310" spans="2:11" x14ac:dyDescent="0.25">
      <c r="B1310" s="5" t="str">
        <f t="shared" si="778"/>
        <v>SPS4</v>
      </c>
      <c r="C1310" s="5" t="str">
        <f t="shared" si="776"/>
        <v>CH</v>
      </c>
      <c r="D1310" t="s">
        <v>1227</v>
      </c>
      <c r="E1310" t="str">
        <f t="shared" si="777"/>
        <v>km/MJ</v>
      </c>
      <c r="F1310" s="1">
        <f>IFERROR(F1259/F1208,"-")</f>
        <v>0.66463112506333244</v>
      </c>
      <c r="G1310" s="1">
        <f t="shared" si="787"/>
        <v>0.10654722809028416</v>
      </c>
      <c r="H1310" s="1">
        <f t="shared" si="787"/>
        <v>2.0242463900559955E-2</v>
      </c>
      <c r="I1310" s="1">
        <f t="shared" si="787"/>
        <v>1.0929702946950955E-5</v>
      </c>
      <c r="J1310" s="1">
        <f t="shared" si="787"/>
        <v>5.8283341162339126E-6</v>
      </c>
      <c r="K1310" s="1">
        <f t="shared" si="787"/>
        <v>7.0450867497268633E-6</v>
      </c>
    </row>
    <row r="1311" spans="2:11" x14ac:dyDescent="0.25">
      <c r="B1311" s="5" t="str">
        <f t="shared" si="778"/>
        <v>SPS4</v>
      </c>
      <c r="C1311" s="5" t="str">
        <f t="shared" si="776"/>
        <v>CH</v>
      </c>
      <c r="D1311" t="s">
        <v>1228</v>
      </c>
      <c r="E1311" t="str">
        <f t="shared" si="777"/>
        <v>km/MJ</v>
      </c>
      <c r="F1311" s="1">
        <f>IFERROR(F1260/F1209,"-")</f>
        <v>0.46815196301134676</v>
      </c>
      <c r="G1311" s="1">
        <f t="shared" si="787"/>
        <v>1.3650112420160526E-3</v>
      </c>
      <c r="H1311" s="1">
        <f t="shared" si="787"/>
        <v>1.4706556690218984E-3</v>
      </c>
      <c r="I1311" s="1">
        <f t="shared" si="787"/>
        <v>5.5492722078966052E-4</v>
      </c>
      <c r="J1311" s="1">
        <f t="shared" si="787"/>
        <v>6.4126452820716551E-2</v>
      </c>
      <c r="K1311" s="1">
        <f t="shared" si="787"/>
        <v>0.12553401486253934</v>
      </c>
    </row>
    <row r="1312" spans="2:11" x14ac:dyDescent="0.25">
      <c r="B1312" s="5" t="str">
        <f t="shared" si="778"/>
        <v>SPS4</v>
      </c>
      <c r="C1312" s="5" t="str">
        <f t="shared" si="776"/>
        <v>CH</v>
      </c>
      <c r="D1312" t="s">
        <v>1229</v>
      </c>
      <c r="E1312" t="str">
        <f t="shared" si="777"/>
        <v>km/MJ</v>
      </c>
      <c r="F1312" s="1">
        <f>IFERROR(F1261/F1210,"-")</f>
        <v>0.68268829537557374</v>
      </c>
      <c r="G1312" s="1">
        <f t="shared" si="787"/>
        <v>0.42874469311969204</v>
      </c>
      <c r="H1312" s="1">
        <f t="shared" si="787"/>
        <v>0.42113487496943708</v>
      </c>
      <c r="I1312" s="1">
        <f t="shared" si="787"/>
        <v>5.3983456807727988E-2</v>
      </c>
      <c r="J1312" s="1">
        <f t="shared" si="787"/>
        <v>0.18491547278831238</v>
      </c>
      <c r="K1312" s="1">
        <f t="shared" si="787"/>
        <v>0.30478739017959489</v>
      </c>
    </row>
    <row r="1313" spans="2:16" x14ac:dyDescent="0.25">
      <c r="B1313" s="9" t="str">
        <f t="shared" si="778"/>
        <v>SPS4</v>
      </c>
      <c r="C1313" s="9" t="str">
        <f t="shared" ref="C1313" si="788">C1312</f>
        <v>CH</v>
      </c>
      <c r="D1313" s="2" t="s">
        <v>1305</v>
      </c>
      <c r="E1313" s="2" t="s">
        <v>8</v>
      </c>
      <c r="F1313" s="3">
        <f>F1314+F1320+F1325+F1339</f>
        <v>0.75635459846853603</v>
      </c>
      <c r="G1313" s="3">
        <f t="shared" ref="G1313:K1313" si="789">G1314+G1320+G1325+G1339</f>
        <v>1.293976471725061</v>
      </c>
      <c r="H1313" s="3">
        <f t="shared" si="789"/>
        <v>2.1309993779643754</v>
      </c>
      <c r="I1313" s="3">
        <f t="shared" si="789"/>
        <v>1.7430820203989281</v>
      </c>
      <c r="J1313" s="3">
        <f t="shared" si="789"/>
        <v>1.8541506256176217</v>
      </c>
      <c r="K1313" s="3">
        <f t="shared" si="789"/>
        <v>1.9265463831649314</v>
      </c>
      <c r="M1313" s="3"/>
      <c r="N1313" s="3"/>
      <c r="O1313" s="3"/>
      <c r="P1313" s="3"/>
    </row>
    <row r="1314" spans="2:16" x14ac:dyDescent="0.25">
      <c r="B1314" s="5" t="str">
        <f t="shared" si="778"/>
        <v>SPS4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5.5530735752200707E-3</v>
      </c>
      <c r="G1314" s="1">
        <f t="shared" ref="G1314:K1314" si="790">SUM(G1315:G1319)</f>
        <v>1.2379669010373415E-2</v>
      </c>
      <c r="H1314" s="1">
        <f t="shared" si="790"/>
        <v>1.4417405303380927E-2</v>
      </c>
      <c r="I1314" s="1">
        <f t="shared" si="790"/>
        <v>0.80087476986304462</v>
      </c>
      <c r="J1314" s="1">
        <f t="shared" si="790"/>
        <v>0.71577190896758192</v>
      </c>
      <c r="K1314" s="1">
        <f t="shared" si="790"/>
        <v>0.59036492679127772</v>
      </c>
    </row>
    <row r="1315" spans="2:16" x14ac:dyDescent="0.25">
      <c r="B1315" s="5" t="str">
        <f t="shared" si="778"/>
        <v>SPS4</v>
      </c>
      <c r="C1315" s="5" t="str">
        <f t="shared" ref="C1315:C1348" si="791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4.7659582200858426E-4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4.7645029767554037E-4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4.6729123954726548E-4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778"/>
        <v>SPS4</v>
      </c>
      <c r="C1316" s="5" t="str">
        <f t="shared" si="791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3.5769511574878623E-7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7.4319851930034473E-4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1.757678411550456E-3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0.24550853311286275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0.252945243484344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0.24058963121485949</v>
      </c>
    </row>
    <row r="1317" spans="2:16" x14ac:dyDescent="0.25">
      <c r="B1317" s="5" t="str">
        <f t="shared" si="778"/>
        <v>SPS4</v>
      </c>
      <c r="C1317" s="5" t="str">
        <f t="shared" si="791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1.351465421449766E-3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2.3444270134936628E-3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3.0745465861730078E-3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0.12223262561597881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0.12545846996314466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0.12065967927542136</v>
      </c>
    </row>
    <row r="1318" spans="2:16" x14ac:dyDescent="0.25">
      <c r="B1318" s="5" t="str">
        <f t="shared" si="778"/>
        <v>SPS4</v>
      </c>
      <c r="C1318" s="5" t="str">
        <f t="shared" si="791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3.6369765954633632E-3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8.7938367681163667E-3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9.0080975754365661E-3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0.43309494986738173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0.33731948127579858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0.22909956950088628</v>
      </c>
    </row>
    <row r="1319" spans="2:16" x14ac:dyDescent="0.25">
      <c r="B1319" s="5" t="str">
        <f t="shared" si="778"/>
        <v>SPS4</v>
      </c>
      <c r="C1319" s="5" t="str">
        <f t="shared" si="791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8.7678041182608034E-5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2.1756411787500105E-5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1.0979149067363244E-4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3.8661266821339831E-5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4.8714244294601958E-5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1.6046800110528581E-5</v>
      </c>
    </row>
    <row r="1320" spans="2:16" x14ac:dyDescent="0.25">
      <c r="B1320" s="5" t="str">
        <f t="shared" si="778"/>
        <v>SPS4</v>
      </c>
      <c r="C1320" s="5" t="str">
        <f t="shared" si="791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792">SUM(G1321:G1324)</f>
        <v>0</v>
      </c>
      <c r="H1320" s="1">
        <f t="shared" si="792"/>
        <v>0</v>
      </c>
      <c r="I1320" s="1">
        <f t="shared" si="792"/>
        <v>1.5429083693241981E-4</v>
      </c>
      <c r="J1320" s="1">
        <f t="shared" si="792"/>
        <v>1.0271661900966877E-4</v>
      </c>
      <c r="K1320" s="1">
        <f t="shared" si="792"/>
        <v>9.5049520861527836E-5</v>
      </c>
    </row>
    <row r="1321" spans="2:16" x14ac:dyDescent="0.25">
      <c r="B1321" s="5" t="str">
        <f t="shared" si="778"/>
        <v>SPS4</v>
      </c>
      <c r="C1321" s="5" t="str">
        <f t="shared" si="791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2.6795476271079754E-5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2.9574185729476424E-5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2.4594750197538356E-5</v>
      </c>
    </row>
    <row r="1322" spans="2:16" x14ac:dyDescent="0.25">
      <c r="B1322" s="5" t="str">
        <f t="shared" si="778"/>
        <v>SPS4</v>
      </c>
      <c r="C1322" s="5" t="str">
        <f t="shared" si="791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2.4759003371640299E-5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2.6725722290219042E-5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2.3926507855679396E-5</v>
      </c>
    </row>
    <row r="1323" spans="2:16" x14ac:dyDescent="0.25">
      <c r="B1323" s="5" t="str">
        <f t="shared" si="778"/>
        <v>SPS4</v>
      </c>
      <c r="C1323" s="5" t="str">
        <f t="shared" si="791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1.0273635728969977E-4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4.5648203218656056E-5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4.4418812772697297E-5</v>
      </c>
    </row>
    <row r="1324" spans="2:16" x14ac:dyDescent="0.25">
      <c r="B1324" s="5" t="str">
        <f t="shared" si="778"/>
        <v>SPS4</v>
      </c>
      <c r="C1324" s="5" t="str">
        <f t="shared" si="791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7.6850777131724905E-7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2.1094500356127792E-6</v>
      </c>
    </row>
    <row r="1325" spans="2:16" x14ac:dyDescent="0.25">
      <c r="B1325" s="5" t="str">
        <f t="shared" si="778"/>
        <v>SPS4</v>
      </c>
      <c r="C1325" s="5" t="str">
        <f t="shared" si="791"/>
        <v>CH</v>
      </c>
      <c r="D1325" t="s">
        <v>1318</v>
      </c>
      <c r="E1325" t="s">
        <v>8</v>
      </c>
      <c r="F1325" s="1">
        <f>SUM(F1330:F1338)</f>
        <v>0.7504849277043586</v>
      </c>
      <c r="G1325" s="1">
        <f t="shared" ref="G1325:K1325" si="793">SUM(G1330:G1338)</f>
        <v>1.2811218182047177</v>
      </c>
      <c r="H1325" s="1">
        <f t="shared" si="793"/>
        <v>2.0972661208032619</v>
      </c>
      <c r="I1325" s="1">
        <f t="shared" si="793"/>
        <v>0.94205265988836606</v>
      </c>
      <c r="J1325" s="1">
        <f t="shared" si="793"/>
        <v>1.1382727926641814</v>
      </c>
      <c r="K1325" s="1">
        <f t="shared" si="793"/>
        <v>1.3360850251549996</v>
      </c>
    </row>
    <row r="1326" spans="2:16" x14ac:dyDescent="0.25">
      <c r="B1326" s="5" t="str">
        <f t="shared" si="778"/>
        <v>SPS4</v>
      </c>
      <c r="C1326" s="5" t="str">
        <f t="shared" si="791"/>
        <v>CH</v>
      </c>
      <c r="D1326" t="s">
        <v>1319</v>
      </c>
      <c r="E1326" t="s">
        <v>8</v>
      </c>
      <c r="F1326" s="1">
        <f>F1325-F1327</f>
        <v>0.73194056745700564</v>
      </c>
      <c r="G1326" s="1">
        <f t="shared" ref="G1326:K1326" si="794">G1325-G1327</f>
        <v>1.2464456585407613</v>
      </c>
      <c r="H1326" s="1">
        <f t="shared" si="794"/>
        <v>2.0274627011410162</v>
      </c>
      <c r="I1326" s="1">
        <f t="shared" si="794"/>
        <v>0.90598144415334003</v>
      </c>
      <c r="J1326" s="1">
        <f t="shared" si="794"/>
        <v>1.1064979916475122</v>
      </c>
      <c r="K1326" s="1">
        <f t="shared" si="794"/>
        <v>1.3009791377753137</v>
      </c>
    </row>
    <row r="1327" spans="2:16" x14ac:dyDescent="0.25">
      <c r="B1327" s="5" t="str">
        <f t="shared" si="778"/>
        <v>SPS4</v>
      </c>
      <c r="C1327" s="5" t="str">
        <f t="shared" si="791"/>
        <v>CH</v>
      </c>
      <c r="D1327" t="s">
        <v>1320</v>
      </c>
      <c r="E1327" t="s">
        <v>8</v>
      </c>
      <c r="F1327" s="1">
        <f>SUM(F1328:F1329)</f>
        <v>1.8544360247352908E-2</v>
      </c>
      <c r="G1327" s="1">
        <f t="shared" ref="G1327" si="795">SUM(G1328:G1329)</f>
        <v>3.4676159663956478E-2</v>
      </c>
      <c r="H1327" s="1">
        <f t="shared" ref="H1327" si="796">SUM(H1328:H1329)</f>
        <v>6.9803419662245778E-2</v>
      </c>
      <c r="I1327" s="1">
        <f t="shared" ref="I1327" si="797">SUM(I1328:I1329)</f>
        <v>3.6071215735025974E-2</v>
      </c>
      <c r="J1327" s="1">
        <f t="shared" ref="J1327" si="798">SUM(J1328:J1329)</f>
        <v>3.1774801016669081E-2</v>
      </c>
      <c r="K1327" s="1">
        <f t="shared" ref="K1327" si="799">SUM(K1328:K1329)</f>
        <v>3.5105887379685848E-2</v>
      </c>
    </row>
    <row r="1328" spans="2:16" x14ac:dyDescent="0.25">
      <c r="B1328" s="5" t="str">
        <f t="shared" si="778"/>
        <v>SPS4</v>
      </c>
      <c r="C1328" s="5" t="str">
        <f t="shared" si="791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1.8544360247352908E-2</v>
      </c>
      <c r="G1328" s="1">
        <f>[1]Transport!C$26/SUM([1]Transport!C$22,[1]Transport!C$26)*G1325*(G$33+G$580)/(G$33+G$580+G$36)</f>
        <v>3.4676159663956478E-2</v>
      </c>
      <c r="H1328" s="1">
        <f>[1]Transport!D$26/SUM([1]Transport!D$22,[1]Transport!D$26)*H1325*(H$33+H$580)/(H$33+H$580+H$36)</f>
        <v>6.9803419662245778E-2</v>
      </c>
      <c r="I1328" s="1">
        <f>[1]Transport!E$26/SUM([1]Transport!E$22,[1]Transport!E$26)*I1325*(I$33+I$580)/(I$33+I$580+I$36)</f>
        <v>3.6071215735025974E-2</v>
      </c>
      <c r="J1328" s="1">
        <f>[1]Transport!F$26/SUM([1]Transport!F$22,[1]Transport!F$26)*J1325*(J$33+J$580)/(J$33+J$580+J$36)</f>
        <v>2.3093193979929004E-2</v>
      </c>
      <c r="K1328" s="1">
        <f>[1]Transport!G$26/SUM([1]Transport!G$22,[1]Transport!G$26)*K1325*(K$33+K$580)/(K$33+K$580+K$36)</f>
        <v>3.5104352938386325E-2</v>
      </c>
    </row>
    <row r="1329" spans="2:11" x14ac:dyDescent="0.25">
      <c r="B1329" s="5" t="str">
        <f t="shared" si="778"/>
        <v>SPS4</v>
      </c>
      <c r="C1329" s="5" t="str">
        <f t="shared" si="791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8.6816070367400754E-3</v>
      </c>
      <c r="K1329" s="1">
        <f>(K$36+K$716)/([1]Transport!G$22+[1]Transport!G$26)*K1325</f>
        <v>1.5344412995249775E-6</v>
      </c>
    </row>
    <row r="1330" spans="2:11" x14ac:dyDescent="0.25">
      <c r="B1330" s="5" t="str">
        <f t="shared" si="778"/>
        <v>SPS4</v>
      </c>
      <c r="C1330" s="5" t="str">
        <f t="shared" si="791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0.21440528517930488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0.21458885908568331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1.3637927339260009E-4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3.2582808934615104E-4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2.5893163836909836E-4</v>
      </c>
    </row>
    <row r="1331" spans="2:11" x14ac:dyDescent="0.25">
      <c r="B1331" s="5" t="str">
        <f t="shared" si="778"/>
        <v>SPS4</v>
      </c>
      <c r="C1331" s="5" t="str">
        <f t="shared" si="791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5.1071809410744278E-3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5.2301110269832854E-3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2.4294035648808452E-4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3.4685397041358173E-4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2.4311385561051537E-4</v>
      </c>
    </row>
    <row r="1332" spans="2:11" x14ac:dyDescent="0.25">
      <c r="B1332" s="5" t="str">
        <f t="shared" ref="B1332:B1395" si="800">B1331</f>
        <v>SPS4</v>
      </c>
      <c r="C1332" s="5" t="str">
        <f t="shared" si="791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4.4187808720167421E-2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0.57362686099713733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0.94163087646298516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1.1375865477461766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1.3355818461830766</v>
      </c>
    </row>
    <row r="1333" spans="2:11" x14ac:dyDescent="0.25">
      <c r="B1333" s="5" t="str">
        <f t="shared" si="800"/>
        <v>SPS4</v>
      </c>
      <c r="C1333" s="5" t="str">
        <f t="shared" si="791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1.0875842430796884E-5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00"/>
        <v>SPS4</v>
      </c>
      <c r="C1334" s="5" t="str">
        <f t="shared" si="791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1.7339775021133267E-2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1.7318269666675202E-2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1.7250523099163934E-2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00"/>
        <v>SPS4</v>
      </c>
      <c r="C1335" s="5" t="str">
        <f t="shared" si="791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2.7083241275098935E-4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5.6109159585203091E-4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0.2007038779783184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4.2463795500205947E-5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1.2336866926795489E-6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1.1334779432972158E-6</v>
      </c>
    </row>
    <row r="1336" spans="2:11" x14ac:dyDescent="0.25">
      <c r="B1336" s="5" t="str">
        <f t="shared" si="800"/>
        <v>SPS4</v>
      </c>
      <c r="C1336" s="5" t="str">
        <f t="shared" si="791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0.11053483475081741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0.13071148797008958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0.21630769411695319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25">
      <c r="B1337" s="5" t="str">
        <f t="shared" si="800"/>
        <v>SPS4</v>
      </c>
      <c r="C1337" s="5" t="str">
        <f t="shared" si="791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0.61932269390798467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0.86883069413155423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0.869551188728513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0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1.453329121473498E-6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25">
      <c r="B1338" s="5" t="str">
        <f t="shared" si="800"/>
        <v>SPS4</v>
      </c>
      <c r="C1338" s="5" t="str">
        <f t="shared" si="791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3.016791611672271E-3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7.0057705093687875E-6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00"/>
        <v>SPS4</v>
      </c>
      <c r="C1339" s="5" t="str">
        <f t="shared" si="791"/>
        <v>CH</v>
      </c>
      <c r="D1339" t="s">
        <v>1344</v>
      </c>
      <c r="E1339" t="s">
        <v>8</v>
      </c>
      <c r="F1339" s="1">
        <f>SUM(F1344:F1348)</f>
        <v>3.1659718895738842E-4</v>
      </c>
      <c r="G1339" s="1">
        <f t="shared" ref="G1339:K1339" si="801">SUM(G1344:G1348)</f>
        <v>4.7498450996980485E-4</v>
      </c>
      <c r="H1339" s="1">
        <f t="shared" si="801"/>
        <v>1.9315851857732633E-2</v>
      </c>
      <c r="I1339" s="1">
        <f t="shared" si="801"/>
        <v>2.9981058509882539E-7</v>
      </c>
      <c r="J1339" s="1">
        <f t="shared" si="801"/>
        <v>3.2073668487989283E-6</v>
      </c>
      <c r="K1339" s="1">
        <f t="shared" si="801"/>
        <v>1.3816977926621334E-6</v>
      </c>
    </row>
    <row r="1340" spans="2:11" x14ac:dyDescent="0.25">
      <c r="B1340" s="5" t="str">
        <f t="shared" si="800"/>
        <v>SPS4</v>
      </c>
      <c r="C1340" s="5" t="str">
        <f t="shared" si="791"/>
        <v>CH</v>
      </c>
      <c r="D1340" t="s">
        <v>1345</v>
      </c>
      <c r="E1340" t="s">
        <v>8</v>
      </c>
      <c r="F1340" s="1">
        <f>F1339-F1341</f>
        <v>2.9269479214749677E-4</v>
      </c>
      <c r="G1340" s="1">
        <f t="shared" ref="G1340:K1340" si="802">G1339-G1341</f>
        <v>4.2891256521814279E-4</v>
      </c>
      <c r="H1340" s="1">
        <f t="shared" si="802"/>
        <v>1.758149185670501E-2</v>
      </c>
      <c r="I1340" s="1">
        <f t="shared" si="802"/>
        <v>2.9977770513464313E-7</v>
      </c>
      <c r="J1340" s="1">
        <f t="shared" si="802"/>
        <v>-1.1705250385358036E-3</v>
      </c>
      <c r="K1340" s="1">
        <f t="shared" si="802"/>
        <v>-2.4807522363814731E-3</v>
      </c>
    </row>
    <row r="1341" spans="2:11" x14ac:dyDescent="0.25">
      <c r="B1341" s="5" t="str">
        <f t="shared" si="800"/>
        <v>SPS4</v>
      </c>
      <c r="C1341" s="5" t="str">
        <f t="shared" si="791"/>
        <v>CH</v>
      </c>
      <c r="D1341" t="s">
        <v>1346</v>
      </c>
      <c r="E1341" t="s">
        <v>8</v>
      </c>
      <c r="F1341" s="1">
        <f>SUM(F1342:F1343)</f>
        <v>2.3902396809891649E-5</v>
      </c>
      <c r="G1341" s="1">
        <f t="shared" ref="G1341" si="803">SUM(G1342:G1343)</f>
        <v>4.6071944751662047E-5</v>
      </c>
      <c r="H1341" s="1">
        <f t="shared" ref="H1341" si="804">SUM(H1342:H1343)</f>
        <v>1.7343600010276243E-3</v>
      </c>
      <c r="I1341" s="1">
        <f t="shared" ref="I1341" si="805">SUM(I1342:I1343)</f>
        <v>3.2879964182281248E-11</v>
      </c>
      <c r="J1341" s="1">
        <f t="shared" ref="J1341" si="806">SUM(J1342:J1343)</f>
        <v>1.1737324053846027E-3</v>
      </c>
      <c r="K1341" s="1">
        <f t="shared" ref="K1341" si="807">SUM(K1342:K1343)</f>
        <v>2.4821339341741353E-3</v>
      </c>
    </row>
    <row r="1342" spans="2:11" x14ac:dyDescent="0.25">
      <c r="B1342" s="5" t="str">
        <f t="shared" si="800"/>
        <v>SPS4</v>
      </c>
      <c r="C1342" s="5" t="str">
        <f t="shared" si="791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2.3902396809891649E-5</v>
      </c>
      <c r="G1342" s="1">
        <f>[1]Transport!C$27/SUM([1]Transport!C$24,[1]Transport!C$27)*G1339*(G$45+G$612)/(G$45+G$612+G$47)</f>
        <v>4.6071944751662047E-5</v>
      </c>
      <c r="H1342" s="1">
        <f>[1]Transport!D$27/SUM([1]Transport!D$24,[1]Transport!D$27)*H1339*(H$45+H$612)/(H$45+H$612+H$47)</f>
        <v>1.7343600010276243E-3</v>
      </c>
      <c r="I1342" s="1">
        <f>[1]Transport!E$27/SUM([1]Transport!E$24,[1]Transport!E$27)*I1339*(I$45+I$612)/(I$45+I$612+I$47)</f>
        <v>3.2879964182281248E-11</v>
      </c>
      <c r="J1342" s="1">
        <f>[1]Transport!F$27/SUM([1]Transport!F$24,[1]Transport!F$27)*J1339*(J$45+J$612)/(J$45+J$612+J$47)</f>
        <v>1.0560150910650968E-7</v>
      </c>
      <c r="K1342" s="1">
        <f>[1]Transport!G$27/SUM([1]Transport!G$24,[1]Transport!G$27)*K1339*(K$45+K$612)/(K$45+K$612+K$47)</f>
        <v>2.329756975703161E-8</v>
      </c>
    </row>
    <row r="1343" spans="2:11" x14ac:dyDescent="0.25">
      <c r="B1343" s="5" t="str">
        <f t="shared" si="800"/>
        <v>SPS4</v>
      </c>
      <c r="C1343" s="5" t="str">
        <f t="shared" si="791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1.1736268038754962E-3</v>
      </c>
      <c r="K1343" s="1">
        <f>(K$47+K$714)/([1]Transport!G$24+[1]Transport!G$27)*K1339</f>
        <v>2.4821106366043782E-3</v>
      </c>
    </row>
    <row r="1344" spans="2:11" x14ac:dyDescent="0.25">
      <c r="B1344" s="5" t="str">
        <f t="shared" si="800"/>
        <v>SPS4</v>
      </c>
      <c r="C1344" s="5" t="str">
        <f t="shared" si="791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3.1659718895738842E-4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3.1721763212484195E-4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3.1612550194509297E-4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00"/>
        <v>SPS4</v>
      </c>
      <c r="C1345" s="5" t="str">
        <f t="shared" si="791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7.7414299710363299E-5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7.8346917987568148E-4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2.9981058509882539E-7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1.9510265725829182E-6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1.2487746051140203E-6</v>
      </c>
    </row>
    <row r="1346" spans="2:11" x14ac:dyDescent="0.25">
      <c r="B1346" s="5" t="str">
        <f t="shared" si="800"/>
        <v>SPS4</v>
      </c>
      <c r="C1346" s="5" t="str">
        <f t="shared" si="791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5.5970993787704196E-5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1.8048613793025161E-2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0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25">
      <c r="B1347" s="5" t="str">
        <f t="shared" si="800"/>
        <v>SPS4</v>
      </c>
      <c r="C1347" s="5" t="str">
        <f t="shared" si="791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2.4381584346895456E-5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1.6764338288669593E-4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1.2563402762160098E-6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1.32923187548113E-7</v>
      </c>
    </row>
    <row r="1348" spans="2:11" x14ac:dyDescent="0.25">
      <c r="B1348" s="5" t="str">
        <f t="shared" si="800"/>
        <v>SPS4</v>
      </c>
      <c r="C1348" s="5" t="str">
        <f t="shared" si="791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 t="shared" si="800"/>
        <v>SPS4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0.29538926828987094</v>
      </c>
      <c r="G1349" s="3">
        <f t="shared" ref="G1349:K1349" si="808">SUM(G1350:G1372)</f>
        <v>0.30243634302516537</v>
      </c>
      <c r="H1349" s="3">
        <f t="shared" si="808"/>
        <v>0.30908073446018108</v>
      </c>
      <c r="I1349" s="3">
        <f t="shared" si="808"/>
        <v>0.32279314587494462</v>
      </c>
      <c r="J1349" s="3">
        <f t="shared" si="808"/>
        <v>0.35120873972009858</v>
      </c>
      <c r="K1349" s="3">
        <f t="shared" si="808"/>
        <v>0.37569742821326169</v>
      </c>
    </row>
    <row r="1350" spans="2:11" x14ac:dyDescent="0.25">
      <c r="B1350" s="5" t="str">
        <f t="shared" si="800"/>
        <v>SPS4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1.9972244603060751E-3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1.6074245408703326E-3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1.003961447753689E-3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si="800"/>
        <v>SPS4</v>
      </c>
      <c r="C1351" s="5" t="str">
        <f t="shared" ref="C1351:C1372" si="809">C1350</f>
        <v>CH</v>
      </c>
      <c r="D1351" t="s">
        <v>1351</v>
      </c>
      <c r="E1351" t="str">
        <f t="shared" ref="E1351:E1372" si="810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1.3545671409479031E-7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2.9164284046832671E-4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7.1078260163513632E-4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0.10982119367994876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0.11945459477256738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0.12780377331978351</v>
      </c>
    </row>
    <row r="1352" spans="2:11" x14ac:dyDescent="0.25">
      <c r="B1352" s="5" t="str">
        <f t="shared" si="800"/>
        <v>SPS4</v>
      </c>
      <c r="C1352" s="5" t="str">
        <f t="shared" si="809"/>
        <v>CH</v>
      </c>
      <c r="D1352" t="s">
        <v>1352</v>
      </c>
      <c r="E1352" t="str">
        <f t="shared" si="810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3.7189720741024154E-4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6.504147913803241E-4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8.6937910995857001E-4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3.9614514543744303E-2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4.3083127293368467E-2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4.6103494158951173E-2</v>
      </c>
    </row>
    <row r="1353" spans="2:11" x14ac:dyDescent="0.25">
      <c r="B1353" s="5" t="str">
        <f t="shared" si="800"/>
        <v>SPS4</v>
      </c>
      <c r="C1353" s="5" t="str">
        <f t="shared" si="809"/>
        <v>CH</v>
      </c>
      <c r="D1353" t="s">
        <v>1353</v>
      </c>
      <c r="E1353" t="str">
        <f t="shared" si="810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6.6545908841021185E-4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1.62205326182102E-3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1.66520563808409E-3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9.3417479589267785E-2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7.9783866877022117E-2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5.7982467502740387E-2</v>
      </c>
    </row>
    <row r="1354" spans="2:11" x14ac:dyDescent="0.25">
      <c r="B1354" s="5" t="str">
        <f t="shared" si="800"/>
        <v>SPS4</v>
      </c>
      <c r="C1354" s="5" t="str">
        <f t="shared" si="809"/>
        <v>CH</v>
      </c>
      <c r="D1354" t="s">
        <v>1354</v>
      </c>
      <c r="E1354" t="str">
        <f t="shared" si="810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1.0695590543777951E-5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2.7507564990871689E-6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1.4081278651450722E-5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5.5026054310796443E-6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7.6841215135560664E-6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2.7179750315955029E-6</v>
      </c>
    </row>
    <row r="1355" spans="2:11" x14ac:dyDescent="0.25">
      <c r="B1355" s="5" t="str">
        <f t="shared" si="800"/>
        <v>SPS4</v>
      </c>
      <c r="C1355" s="5" t="str">
        <f t="shared" si="809"/>
        <v>CH</v>
      </c>
      <c r="D1355" t="s">
        <v>1355</v>
      </c>
      <c r="E1355" t="str">
        <f t="shared" si="810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6.2809068447224582E-6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7.6787604784777978E-6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7.2362255162884267E-6</v>
      </c>
    </row>
    <row r="1356" spans="2:11" x14ac:dyDescent="0.25">
      <c r="B1356" s="5" t="str">
        <f t="shared" si="800"/>
        <v>SPS4</v>
      </c>
      <c r="C1356" s="5" t="str">
        <f t="shared" si="809"/>
        <v>CH</v>
      </c>
      <c r="D1356" t="s">
        <v>1356</v>
      </c>
      <c r="E1356" t="str">
        <f t="shared" si="810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4.1867849679148478E-6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5.0082804159717109E-6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5.0871543017691952E-6</v>
      </c>
    </row>
    <row r="1357" spans="2:11" x14ac:dyDescent="0.25">
      <c r="B1357" s="5" t="str">
        <f t="shared" si="800"/>
        <v>SPS4</v>
      </c>
      <c r="C1357" s="5" t="str">
        <f t="shared" si="809"/>
        <v>CH</v>
      </c>
      <c r="D1357" t="s">
        <v>1357</v>
      </c>
      <c r="E1357" t="str">
        <f t="shared" si="810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1.1620344108633998E-5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5.779494764958746E-6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6.3284177766988745E-6</v>
      </c>
    </row>
    <row r="1358" spans="2:11" x14ac:dyDescent="0.25">
      <c r="B1358" s="5" t="str">
        <f t="shared" si="800"/>
        <v>SPS4</v>
      </c>
      <c r="C1358" s="5" t="str">
        <f t="shared" si="809"/>
        <v>CH</v>
      </c>
      <c r="D1358" t="s">
        <v>1358</v>
      </c>
      <c r="E1358" t="str">
        <f t="shared" si="810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6.2660989283670494E-8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1.8389171342141261E-7</v>
      </c>
    </row>
    <row r="1359" spans="2:11" x14ac:dyDescent="0.25">
      <c r="B1359" s="5" t="str">
        <f t="shared" si="800"/>
        <v>SPS4</v>
      </c>
      <c r="C1359" s="5" t="str">
        <f t="shared" si="809"/>
        <v>CH</v>
      </c>
      <c r="D1359" t="s">
        <v>1359</v>
      </c>
      <c r="E1359" t="str">
        <f t="shared" si="810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3.4843796127329338E-2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3.4875186652662309E-2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2.3935858940671814E-5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6.4649986564569321E-5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5.6034104383988635E-5</v>
      </c>
    </row>
    <row r="1360" spans="2:11" x14ac:dyDescent="0.25">
      <c r="B1360" s="5" t="str">
        <f t="shared" si="800"/>
        <v>SPS4</v>
      </c>
      <c r="C1360" s="5" t="str">
        <f t="shared" si="809"/>
        <v>CH</v>
      </c>
      <c r="D1360" t="s">
        <v>1360</v>
      </c>
      <c r="E1360" t="str">
        <f t="shared" si="810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5.9495560130110015E-4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6.0998997499813043E-4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3.0235426852385538E-5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4.9306675727498707E-5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3.7486351272402177E-5</v>
      </c>
    </row>
    <row r="1361" spans="2:11" x14ac:dyDescent="0.25">
      <c r="B1361" s="5" t="str">
        <f t="shared" si="800"/>
        <v>SPS4</v>
      </c>
      <c r="C1361" s="5" t="str">
        <f t="shared" si="809"/>
        <v>CH</v>
      </c>
      <c r="D1361" t="s">
        <v>1361</v>
      </c>
      <c r="E1361" t="str">
        <f t="shared" si="810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3.4570698100002983E-3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4.697840963903685E-2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7.9852892761000466E-2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0.10874557577596387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0.14369219639978431</v>
      </c>
    </row>
    <row r="1362" spans="2:11" x14ac:dyDescent="0.25">
      <c r="B1362" s="5" t="str">
        <f t="shared" si="800"/>
        <v>SPS4</v>
      </c>
      <c r="C1362" s="5" t="str">
        <f t="shared" si="809"/>
        <v>CH</v>
      </c>
      <c r="D1362" t="s">
        <v>1362</v>
      </c>
      <c r="E1362" t="str">
        <f t="shared" si="810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7.0748068198918648E-7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00"/>
        <v>SPS4</v>
      </c>
      <c r="C1363" s="5" t="str">
        <f t="shared" si="809"/>
        <v>CH</v>
      </c>
      <c r="D1363" t="s">
        <v>2002</v>
      </c>
      <c r="E1363" t="str">
        <f t="shared" si="810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0.24221378093818019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0.19378445036703904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0.12111541001828996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00"/>
        <v>SPS4</v>
      </c>
      <c r="C1364" s="5" t="str">
        <f t="shared" si="809"/>
        <v>CH</v>
      </c>
      <c r="D1364" t="s">
        <v>1363</v>
      </c>
      <c r="E1364" t="str">
        <f t="shared" si="810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3.3561327116320521E-5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7.0881345058398834E-5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2.7171785267793739E-2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5.2620781866802075E-6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2.0081378791113233E-7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2.0249321282032871E-7</v>
      </c>
    </row>
    <row r="1365" spans="2:11" x14ac:dyDescent="0.25">
      <c r="B1365" s="5" t="str">
        <f t="shared" si="800"/>
        <v>SPS4</v>
      </c>
      <c r="C1365" s="5" t="str">
        <f t="shared" si="809"/>
        <v>CH</v>
      </c>
      <c r="D1365" t="s">
        <v>1364</v>
      </c>
      <c r="E1365" t="str">
        <f t="shared" si="810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9.668023009216313E-3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1.1464185861173388E-2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1.9601481541336511E-2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0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25">
      <c r="B1366" s="5" t="str">
        <f t="shared" si="800"/>
        <v>SPS4</v>
      </c>
      <c r="C1366" s="5" t="str">
        <f t="shared" si="809"/>
        <v>CH</v>
      </c>
      <c r="D1366" t="s">
        <v>1365</v>
      </c>
      <c r="E1366" t="str">
        <f t="shared" si="810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3.5889457783325453E-2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5.0482564125041991E-2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5.0525099135780564E-2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1.0924753100354109E-7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25">
      <c r="B1367" s="5" t="str">
        <f t="shared" si="800"/>
        <v>SPS4</v>
      </c>
      <c r="C1367" s="5" t="str">
        <f t="shared" si="809"/>
        <v>CH</v>
      </c>
      <c r="D1367" t="s">
        <v>1366</v>
      </c>
      <c r="E1367" t="str">
        <f t="shared" si="810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1.1658838087180853E-4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2.7238022951944718E-7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00"/>
        <v>SPS4</v>
      </c>
      <c r="C1368" s="5" t="str">
        <f t="shared" si="809"/>
        <v>CH</v>
      </c>
      <c r="D1368" t="s">
        <v>2006</v>
      </c>
      <c r="E1368" t="str">
        <f t="shared" si="810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4.4224450477764465E-3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3.5487124059896203E-3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2.2174525711277518E-3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00"/>
        <v>SPS4</v>
      </c>
      <c r="C1369" s="5" t="str">
        <f t="shared" si="809"/>
        <v>CH</v>
      </c>
      <c r="D1369" t="s">
        <v>1367</v>
      </c>
      <c r="E1369" t="str">
        <f t="shared" si="810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9.3081033902389528E-6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9.8744049340260314E-5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4.1295651256218698E-8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2.9833124792745499E-7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2.0989482492138416E-7</v>
      </c>
    </row>
    <row r="1370" spans="2:11" x14ac:dyDescent="0.25">
      <c r="B1370" s="5" t="str">
        <f t="shared" si="800"/>
        <v>SPS4</v>
      </c>
      <c r="C1370" s="5" t="str">
        <f t="shared" si="809"/>
        <v>CH</v>
      </c>
      <c r="D1370" t="s">
        <v>1368</v>
      </c>
      <c r="E1370" t="str">
        <f t="shared" si="810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4.7574267968381245E-6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1.613653455121969E-3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0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25">
      <c r="B1371" s="5" t="str">
        <f t="shared" si="800"/>
        <v>SPS4</v>
      </c>
      <c r="C1371" s="5" t="str">
        <f t="shared" si="809"/>
        <v>CH</v>
      </c>
      <c r="D1371" t="s">
        <v>1369</v>
      </c>
      <c r="E1371" t="str">
        <f t="shared" si="810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1.3756610060169451E-6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9.8396983805341234E-6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0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8.9147473562939612E-8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1.03239683891103E-8</v>
      </c>
    </row>
    <row r="1372" spans="2:11" x14ac:dyDescent="0.25">
      <c r="B1372" s="5" t="str">
        <f t="shared" si="800"/>
        <v>SPS4</v>
      </c>
      <c r="C1372" s="5" t="str">
        <f t="shared" si="809"/>
        <v>CH</v>
      </c>
      <c r="D1372" t="s">
        <v>1370</v>
      </c>
      <c r="E1372" t="str">
        <f t="shared" si="810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 t="shared" si="800"/>
        <v>SPS4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si="800"/>
        <v>SPS4</v>
      </c>
      <c r="C1374" s="5" t="str">
        <f t="shared" ref="C1374:C1396" si="811">C1373</f>
        <v>CH</v>
      </c>
      <c r="D1374" t="s">
        <v>1372</v>
      </c>
      <c r="E1374" t="s">
        <v>1230</v>
      </c>
      <c r="F1374" s="1">
        <f>IFERROR(F1350/F1315,"-")</f>
        <v>4.1906042144660303</v>
      </c>
      <c r="G1374" s="1">
        <f t="shared" ref="G1374:K1374" si="812">IFERROR(G1350/G1315,"-")</f>
        <v>3.3737507326839338</v>
      </c>
      <c r="H1374" s="1">
        <f t="shared" si="812"/>
        <v>2.1484705100107928</v>
      </c>
      <c r="I1374" s="1" t="str">
        <f t="shared" si="812"/>
        <v>-</v>
      </c>
      <c r="J1374" s="1" t="str">
        <f t="shared" si="812"/>
        <v>-</v>
      </c>
      <c r="K1374" s="1" t="str">
        <f t="shared" si="812"/>
        <v>-</v>
      </c>
    </row>
    <row r="1375" spans="2:11" x14ac:dyDescent="0.25">
      <c r="B1375" s="5" t="str">
        <f t="shared" si="800"/>
        <v>SPS4</v>
      </c>
      <c r="C1375" s="5" t="str">
        <f t="shared" si="811"/>
        <v>CH</v>
      </c>
      <c r="D1375" t="s">
        <v>1373</v>
      </c>
      <c r="E1375" t="s">
        <v>1230</v>
      </c>
      <c r="F1375" s="1">
        <f t="shared" ref="F1375:K1375" si="813">IFERROR(F1351/F1316,"-")</f>
        <v>0.37869321701871728</v>
      </c>
      <c r="G1375" s="1">
        <f t="shared" si="813"/>
        <v>0.39241579859831055</v>
      </c>
      <c r="H1375" s="1">
        <f t="shared" si="813"/>
        <v>0.40438717171712418</v>
      </c>
      <c r="I1375" s="1">
        <f t="shared" si="813"/>
        <v>0.44732128976332913</v>
      </c>
      <c r="J1375" s="1">
        <f t="shared" si="813"/>
        <v>0.47225475809336975</v>
      </c>
      <c r="K1375" s="1">
        <f t="shared" si="813"/>
        <v>0.53121064558949282</v>
      </c>
    </row>
    <row r="1376" spans="2:11" x14ac:dyDescent="0.25">
      <c r="B1376" s="5" t="str">
        <f t="shared" si="800"/>
        <v>SPS4</v>
      </c>
      <c r="C1376" s="5" t="str">
        <f t="shared" si="811"/>
        <v>CH</v>
      </c>
      <c r="D1376" t="s">
        <v>1374</v>
      </c>
      <c r="E1376" t="s">
        <v>1230</v>
      </c>
      <c r="F1376" s="1">
        <f t="shared" ref="F1376:K1376" si="814">IFERROR(F1352/F1317,"-")</f>
        <v>0.27518070496490682</v>
      </c>
      <c r="G1376" s="1">
        <f t="shared" si="814"/>
        <v>0.27743017276152121</v>
      </c>
      <c r="H1376" s="1">
        <f t="shared" si="814"/>
        <v>0.28276660821090877</v>
      </c>
      <c r="I1376" s="1">
        <f t="shared" si="814"/>
        <v>0.32409116914662522</v>
      </c>
      <c r="J1376" s="1">
        <f t="shared" si="814"/>
        <v>0.34340548952992006</v>
      </c>
      <c r="K1376" s="1">
        <f t="shared" si="814"/>
        <v>0.38209528183573216</v>
      </c>
    </row>
    <row r="1377" spans="2:11" x14ac:dyDescent="0.25">
      <c r="B1377" s="5" t="str">
        <f t="shared" si="800"/>
        <v>SPS4</v>
      </c>
      <c r="C1377" s="5" t="str">
        <f t="shared" si="811"/>
        <v>CH</v>
      </c>
      <c r="D1377" t="s">
        <v>1375</v>
      </c>
      <c r="E1377" t="s">
        <v>1230</v>
      </c>
      <c r="F1377" s="1">
        <f t="shared" ref="F1377:K1377" si="815">IFERROR(F1353/F1318,"-")</f>
        <v>0.18297040713439897</v>
      </c>
      <c r="G1377" s="1">
        <f t="shared" si="815"/>
        <v>0.18445341943371807</v>
      </c>
      <c r="H1377" s="1">
        <f t="shared" si="815"/>
        <v>0.18485652760076679</v>
      </c>
      <c r="I1377" s="1">
        <f t="shared" si="815"/>
        <v>0.21569745760802153</v>
      </c>
      <c r="J1377" s="1">
        <f t="shared" si="815"/>
        <v>0.23652315180631198</v>
      </c>
      <c r="K1377" s="1">
        <f t="shared" si="815"/>
        <v>0.25308850483246359</v>
      </c>
    </row>
    <row r="1378" spans="2:11" x14ac:dyDescent="0.25">
      <c r="B1378" s="5" t="str">
        <f t="shared" si="800"/>
        <v>SPS4</v>
      </c>
      <c r="C1378" s="5" t="str">
        <f t="shared" si="811"/>
        <v>CH</v>
      </c>
      <c r="D1378" t="s">
        <v>1376</v>
      </c>
      <c r="E1378" t="s">
        <v>1230</v>
      </c>
      <c r="F1378" s="1">
        <f t="shared" ref="F1378:K1378" si="816">IFERROR(F1354/F1319,"-")</f>
        <v>0.12198710645807113</v>
      </c>
      <c r="G1378" s="1">
        <f t="shared" si="816"/>
        <v>0.12643429100140421</v>
      </c>
      <c r="H1378" s="1">
        <f t="shared" si="816"/>
        <v>0.12825473600052401</v>
      </c>
      <c r="I1378" s="1">
        <f t="shared" si="816"/>
        <v>0.14232863750968386</v>
      </c>
      <c r="J1378" s="1">
        <f t="shared" si="816"/>
        <v>0.15773869891290804</v>
      </c>
      <c r="K1378" s="1">
        <f t="shared" si="816"/>
        <v>0.16937800763232497</v>
      </c>
    </row>
    <row r="1379" spans="2:11" x14ac:dyDescent="0.25">
      <c r="B1379" s="5" t="str">
        <f t="shared" si="800"/>
        <v>SPS4</v>
      </c>
      <c r="C1379" s="5" t="str">
        <f t="shared" si="811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17">IFERROR(G1355/G1321,"-")</f>
        <v>-</v>
      </c>
      <c r="H1379" s="1" t="str">
        <f t="shared" si="817"/>
        <v>-</v>
      </c>
      <c r="I1379" s="1">
        <f t="shared" si="817"/>
        <v>0.23440176174444097</v>
      </c>
      <c r="J1379" s="1">
        <f t="shared" si="817"/>
        <v>0.25964402025190575</v>
      </c>
      <c r="K1379" s="1">
        <f t="shared" si="817"/>
        <v>0.29421829691983159</v>
      </c>
    </row>
    <row r="1380" spans="2:11" x14ac:dyDescent="0.25">
      <c r="B1380" s="5" t="str">
        <f t="shared" si="800"/>
        <v>SPS4</v>
      </c>
      <c r="C1380" s="5" t="str">
        <f t="shared" si="811"/>
        <v>CH</v>
      </c>
      <c r="D1380" t="s">
        <v>1378</v>
      </c>
      <c r="E1380" t="s">
        <v>1230</v>
      </c>
      <c r="F1380" s="1" t="str">
        <f t="shared" ref="F1380:K1380" si="818">IFERROR(F1356/F1322,"-")</f>
        <v>-</v>
      </c>
      <c r="G1380" s="1" t="str">
        <f t="shared" si="818"/>
        <v>-</v>
      </c>
      <c r="H1380" s="1" t="str">
        <f t="shared" si="818"/>
        <v>-</v>
      </c>
      <c r="I1380" s="1">
        <f t="shared" si="818"/>
        <v>0.16910151451049585</v>
      </c>
      <c r="J1380" s="1">
        <f t="shared" si="818"/>
        <v>0.18739551214316921</v>
      </c>
      <c r="K1380" s="1">
        <f t="shared" si="818"/>
        <v>0.21261582895648792</v>
      </c>
    </row>
    <row r="1381" spans="2:11" x14ac:dyDescent="0.25">
      <c r="B1381" s="5" t="str">
        <f t="shared" si="800"/>
        <v>SPS4</v>
      </c>
      <c r="C1381" s="5" t="str">
        <f t="shared" si="811"/>
        <v>CH</v>
      </c>
      <c r="D1381" t="s">
        <v>1379</v>
      </c>
      <c r="E1381" t="s">
        <v>1230</v>
      </c>
      <c r="F1381" s="1" t="str">
        <f t="shared" ref="F1381:K1381" si="819">IFERROR(F1357/F1323,"-")</f>
        <v>-</v>
      </c>
      <c r="G1381" s="1" t="str">
        <f t="shared" si="819"/>
        <v>-</v>
      </c>
      <c r="H1381" s="1" t="str">
        <f t="shared" si="819"/>
        <v>-</v>
      </c>
      <c r="I1381" s="1">
        <f t="shared" si="819"/>
        <v>0.11310839137372297</v>
      </c>
      <c r="J1381" s="1">
        <f t="shared" si="819"/>
        <v>0.12660946888259367</v>
      </c>
      <c r="K1381" s="1">
        <f t="shared" si="819"/>
        <v>0.14247156512451259</v>
      </c>
    </row>
    <row r="1382" spans="2:11" x14ac:dyDescent="0.25">
      <c r="B1382" s="5" t="str">
        <f t="shared" si="800"/>
        <v>SPS4</v>
      </c>
      <c r="C1382" s="5" t="str">
        <f t="shared" si="811"/>
        <v>CH</v>
      </c>
      <c r="D1382" t="s">
        <v>1380</v>
      </c>
      <c r="E1382" t="s">
        <v>1230</v>
      </c>
      <c r="F1382" s="1" t="str">
        <f t="shared" ref="F1382:K1382" si="820">IFERROR(F1358/F1324,"-")</f>
        <v>-</v>
      </c>
      <c r="G1382" s="1" t="str">
        <f t="shared" si="820"/>
        <v>-</v>
      </c>
      <c r="H1382" s="1" t="str">
        <f t="shared" si="820"/>
        <v>-</v>
      </c>
      <c r="I1382" s="1" t="str">
        <f t="shared" si="820"/>
        <v>-</v>
      </c>
      <c r="J1382" s="1">
        <f t="shared" si="820"/>
        <v>8.1535921460192104E-2</v>
      </c>
      <c r="K1382" s="1">
        <f t="shared" si="820"/>
        <v>8.7175192735955684E-2</v>
      </c>
    </row>
    <row r="1383" spans="2:11" x14ac:dyDescent="0.25">
      <c r="B1383" s="5" t="str">
        <f t="shared" si="800"/>
        <v>SPS4</v>
      </c>
      <c r="C1383" s="5" t="str">
        <f t="shared" si="811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21">IFERROR(G1359/G1330,"-")</f>
        <v>0.16251369968883855</v>
      </c>
      <c r="H1383" s="1">
        <f t="shared" si="821"/>
        <v>0.16252095659233165</v>
      </c>
      <c r="I1383" s="1">
        <f t="shared" si="821"/>
        <v>0.17550950628521655</v>
      </c>
      <c r="J1383" s="1">
        <f t="shared" si="821"/>
        <v>0.19841747436295126</v>
      </c>
      <c r="K1383" s="1">
        <f t="shared" si="821"/>
        <v>0.21640501229175363</v>
      </c>
    </row>
    <row r="1384" spans="2:11" x14ac:dyDescent="0.25">
      <c r="B1384" s="5" t="str">
        <f t="shared" si="800"/>
        <v>SPS4</v>
      </c>
      <c r="C1384" s="5" t="str">
        <f t="shared" si="811"/>
        <v>CH</v>
      </c>
      <c r="D1384" t="s">
        <v>1382</v>
      </c>
      <c r="E1384" t="s">
        <v>1230</v>
      </c>
      <c r="F1384" s="1" t="str">
        <f t="shared" ref="F1384:K1384" si="822">IFERROR(F1360/F1331,"-")</f>
        <v>-</v>
      </c>
      <c r="G1384" s="1">
        <f t="shared" si="822"/>
        <v>0.11649393435744139</v>
      </c>
      <c r="H1384" s="1">
        <f t="shared" si="822"/>
        <v>0.11663040647723516</v>
      </c>
      <c r="I1384" s="1">
        <f t="shared" si="822"/>
        <v>0.12445617224517612</v>
      </c>
      <c r="J1384" s="1">
        <f t="shared" si="822"/>
        <v>0.14215398967094542</v>
      </c>
      <c r="K1384" s="1">
        <f t="shared" si="822"/>
        <v>0.15419257441442505</v>
      </c>
    </row>
    <row r="1385" spans="2:11" x14ac:dyDescent="0.25">
      <c r="B1385" s="5" t="str">
        <f t="shared" si="800"/>
        <v>SPS4</v>
      </c>
      <c r="C1385" s="5" t="str">
        <f t="shared" si="811"/>
        <v>CH</v>
      </c>
      <c r="D1385" t="s">
        <v>1383</v>
      </c>
      <c r="E1385" t="s">
        <v>1230</v>
      </c>
      <c r="F1385" s="1" t="str">
        <f t="shared" ref="F1385:K1385" si="823">IFERROR(F1361/F1332,"-")</f>
        <v>-</v>
      </c>
      <c r="G1385" s="1">
        <f t="shared" si="823"/>
        <v>7.8235828164578872E-2</v>
      </c>
      <c r="H1385" s="1">
        <f t="shared" si="823"/>
        <v>8.1897157949288035E-2</v>
      </c>
      <c r="I1385" s="1">
        <f t="shared" si="823"/>
        <v>8.4802755258991794E-2</v>
      </c>
      <c r="J1385" s="1">
        <f t="shared" si="823"/>
        <v>9.5593232876579046E-2</v>
      </c>
      <c r="K1385" s="1">
        <f t="shared" si="823"/>
        <v>0.10758771303341563</v>
      </c>
    </row>
    <row r="1386" spans="2:11" x14ac:dyDescent="0.25">
      <c r="B1386" s="5" t="str">
        <f t="shared" si="800"/>
        <v>SPS4</v>
      </c>
      <c r="C1386" s="5" t="str">
        <f t="shared" si="811"/>
        <v>CH</v>
      </c>
      <c r="D1386" t="s">
        <v>1384</v>
      </c>
      <c r="E1386" t="s">
        <v>1230</v>
      </c>
      <c r="F1386" s="1" t="str">
        <f t="shared" ref="F1386:K1386" si="824">IFERROR(F1362/F1333,"-")</f>
        <v>-</v>
      </c>
      <c r="G1386" s="1" t="str">
        <f t="shared" si="824"/>
        <v>-</v>
      </c>
      <c r="H1386" s="1" t="str">
        <f t="shared" si="824"/>
        <v>-</v>
      </c>
      <c r="I1386" s="1" t="str">
        <f t="shared" si="824"/>
        <v>-</v>
      </c>
      <c r="J1386" s="1">
        <f t="shared" si="824"/>
        <v>6.5050655752958403E-2</v>
      </c>
      <c r="K1386" s="1" t="str">
        <f t="shared" si="824"/>
        <v>-</v>
      </c>
    </row>
    <row r="1387" spans="2:11" x14ac:dyDescent="0.25">
      <c r="B1387" s="5" t="str">
        <f t="shared" si="800"/>
        <v>SPS4</v>
      </c>
      <c r="C1387" s="5" t="str">
        <f t="shared" si="811"/>
        <v>CH</v>
      </c>
      <c r="D1387" t="s">
        <v>2003</v>
      </c>
      <c r="E1387" t="s">
        <v>1230</v>
      </c>
      <c r="F1387" s="1">
        <f>IFERROR(F1363/F1334,"-")</f>
        <v>13.968680714886803</v>
      </c>
      <c r="G1387" s="1">
        <f t="shared" ref="G1387:K1387" si="825">IFERROR(G1363/G1334,"-")</f>
        <v>11.189596541502647</v>
      </c>
      <c r="H1387" s="1">
        <f t="shared" si="825"/>
        <v>7.0209702814264192</v>
      </c>
      <c r="I1387" s="1" t="str">
        <f t="shared" si="825"/>
        <v>-</v>
      </c>
      <c r="J1387" s="1" t="str">
        <f t="shared" si="825"/>
        <v>-</v>
      </c>
      <c r="K1387" s="1" t="str">
        <f t="shared" si="825"/>
        <v>-</v>
      </c>
    </row>
    <row r="1388" spans="2:11" x14ac:dyDescent="0.25">
      <c r="B1388" s="5" t="str">
        <f t="shared" si="800"/>
        <v>SPS4</v>
      </c>
      <c r="C1388" s="5" t="str">
        <f t="shared" si="811"/>
        <v>CH</v>
      </c>
      <c r="D1388" t="s">
        <v>1385</v>
      </c>
      <c r="E1388" t="s">
        <v>1230</v>
      </c>
      <c r="F1388" s="1">
        <f t="shared" ref="F1388:K1388" si="826">IFERROR(F1364/F1335,"-")</f>
        <v>0.12391916748597485</v>
      </c>
      <c r="G1388" s="1">
        <f t="shared" si="826"/>
        <v>0.12632758284458678</v>
      </c>
      <c r="H1388" s="1">
        <f t="shared" si="826"/>
        <v>0.13538246266835485</v>
      </c>
      <c r="I1388" s="1">
        <f t="shared" si="826"/>
        <v>0.12391916748597488</v>
      </c>
      <c r="J1388" s="1">
        <f t="shared" si="826"/>
        <v>0.16277535382583064</v>
      </c>
      <c r="K1388" s="1">
        <f t="shared" si="826"/>
        <v>0.17864768698655814</v>
      </c>
    </row>
    <row r="1389" spans="2:11" x14ac:dyDescent="0.25">
      <c r="B1389" s="5" t="str">
        <f t="shared" si="800"/>
        <v>SPS4</v>
      </c>
      <c r="C1389" s="5" t="str">
        <f t="shared" si="811"/>
        <v>CH</v>
      </c>
      <c r="D1389" t="s">
        <v>1386</v>
      </c>
      <c r="E1389" t="s">
        <v>1230</v>
      </c>
      <c r="F1389" s="1">
        <f t="shared" ref="F1389:K1389" si="827">IFERROR(F1365/F1336,"-")</f>
        <v>8.746584758561661E-2</v>
      </c>
      <c r="G1389" s="1">
        <f t="shared" si="827"/>
        <v>8.7706031345896024E-2</v>
      </c>
      <c r="H1389" s="1">
        <f t="shared" si="827"/>
        <v>9.0618512768844861E-2</v>
      </c>
      <c r="I1389" s="1" t="str">
        <f t="shared" si="827"/>
        <v>-</v>
      </c>
      <c r="J1389" s="1" t="str">
        <f t="shared" si="827"/>
        <v>-</v>
      </c>
      <c r="K1389" s="1" t="str">
        <f t="shared" si="827"/>
        <v>-</v>
      </c>
    </row>
    <row r="1390" spans="2:11" x14ac:dyDescent="0.25">
      <c r="B1390" s="5" t="str">
        <f t="shared" si="800"/>
        <v>SPS4</v>
      </c>
      <c r="C1390" s="5" t="str">
        <f t="shared" si="811"/>
        <v>CH</v>
      </c>
      <c r="D1390" t="s">
        <v>1387</v>
      </c>
      <c r="E1390" t="s">
        <v>1230</v>
      </c>
      <c r="F1390" s="1">
        <f t="shared" ref="F1390:K1390" si="828">IFERROR(F1366/F1337,"-")</f>
        <v>5.7949527986548635E-2</v>
      </c>
      <c r="G1390" s="1">
        <f t="shared" si="828"/>
        <v>5.8104029318971274E-2</v>
      </c>
      <c r="H1390" s="1">
        <f t="shared" si="828"/>
        <v>5.8104801408712999E-2</v>
      </c>
      <c r="I1390" s="1" t="str">
        <f t="shared" si="828"/>
        <v>-</v>
      </c>
      <c r="J1390" s="1">
        <f t="shared" si="828"/>
        <v>7.5170537347230379E-2</v>
      </c>
      <c r="K1390" s="1" t="str">
        <f t="shared" si="828"/>
        <v>-</v>
      </c>
    </row>
    <row r="1391" spans="2:11" x14ac:dyDescent="0.25">
      <c r="B1391" s="5" t="str">
        <f t="shared" si="800"/>
        <v>SPS4</v>
      </c>
      <c r="C1391" s="5" t="str">
        <f t="shared" si="811"/>
        <v>CH</v>
      </c>
      <c r="D1391" t="s">
        <v>1388</v>
      </c>
      <c r="E1391" t="s">
        <v>1230</v>
      </c>
      <c r="F1391" s="1">
        <f t="shared" ref="F1391:K1391" si="829">IFERROR(F1367/F1338,"-")</f>
        <v>3.864648138794749E-2</v>
      </c>
      <c r="G1391" s="1" t="str">
        <f t="shared" si="829"/>
        <v>-</v>
      </c>
      <c r="H1391" s="1">
        <f t="shared" si="829"/>
        <v>3.8879410787891817E-2</v>
      </c>
      <c r="I1391" s="1" t="str">
        <f t="shared" si="829"/>
        <v>-</v>
      </c>
      <c r="J1391" s="1" t="str">
        <f t="shared" si="829"/>
        <v>-</v>
      </c>
      <c r="K1391" s="1" t="str">
        <f t="shared" si="829"/>
        <v>-</v>
      </c>
    </row>
    <row r="1392" spans="2:11" x14ac:dyDescent="0.25">
      <c r="B1392" s="5" t="str">
        <f t="shared" si="800"/>
        <v>SPS4</v>
      </c>
      <c r="C1392" s="5" t="str">
        <f t="shared" si="811"/>
        <v>CH</v>
      </c>
      <c r="D1392" t="s">
        <v>2007</v>
      </c>
      <c r="E1392" t="s">
        <v>1230</v>
      </c>
      <c r="F1392" s="1">
        <f>IFERROR(F1368/F1344,"-")</f>
        <v>13.968680714886808</v>
      </c>
      <c r="G1392" s="1">
        <f t="shared" ref="G1392:K1392" si="830">IFERROR(G1368/G1344,"-")</f>
        <v>11.186996076539067</v>
      </c>
      <c r="H1392" s="1">
        <f t="shared" si="830"/>
        <v>7.0144691190174706</v>
      </c>
      <c r="I1392" s="1" t="str">
        <f t="shared" si="830"/>
        <v>-</v>
      </c>
      <c r="J1392" s="1" t="str">
        <f t="shared" si="830"/>
        <v>-</v>
      </c>
      <c r="K1392" s="1" t="str">
        <f t="shared" si="830"/>
        <v>-</v>
      </c>
    </row>
    <row r="1393" spans="2:11" x14ac:dyDescent="0.25">
      <c r="B1393" s="5" t="str">
        <f t="shared" si="800"/>
        <v>SPS4</v>
      </c>
      <c r="C1393" s="5" t="str">
        <f t="shared" si="811"/>
        <v>CH</v>
      </c>
      <c r="D1393" t="s">
        <v>1389</v>
      </c>
      <c r="E1393" t="s">
        <v>1230</v>
      </c>
      <c r="F1393" s="1" t="str">
        <f t="shared" ref="F1393:K1393" si="831">IFERROR(F1369/F1345,"-")</f>
        <v>-</v>
      </c>
      <c r="G1393" s="1">
        <f t="shared" si="831"/>
        <v>0.1202375197484722</v>
      </c>
      <c r="H1393" s="1">
        <f t="shared" si="831"/>
        <v>0.12603437617792282</v>
      </c>
      <c r="I1393" s="1">
        <f t="shared" si="831"/>
        <v>0.1377391370041407</v>
      </c>
      <c r="J1393" s="1">
        <f t="shared" si="831"/>
        <v>0.15290988452940507</v>
      </c>
      <c r="K1393" s="1">
        <f t="shared" si="831"/>
        <v>0.16808063205466894</v>
      </c>
    </row>
    <row r="1394" spans="2:11" x14ac:dyDescent="0.25">
      <c r="B1394" s="5" t="str">
        <f t="shared" si="800"/>
        <v>SPS4</v>
      </c>
      <c r="C1394" s="5" t="str">
        <f t="shared" si="811"/>
        <v>CH</v>
      </c>
      <c r="D1394" t="s">
        <v>1390</v>
      </c>
      <c r="E1394" t="s">
        <v>1230</v>
      </c>
      <c r="F1394" s="1" t="str">
        <f t="shared" ref="F1394:K1394" si="832">IFERROR(F1370/F1346,"-")</f>
        <v>-</v>
      </c>
      <c r="G1394" s="1">
        <f t="shared" si="832"/>
        <v>8.4998076233608777E-2</v>
      </c>
      <c r="H1394" s="1">
        <f t="shared" si="832"/>
        <v>8.9405949599606432E-2</v>
      </c>
      <c r="I1394" s="1" t="str">
        <f t="shared" si="832"/>
        <v>-</v>
      </c>
      <c r="J1394" s="1" t="str">
        <f t="shared" si="832"/>
        <v>-</v>
      </c>
      <c r="K1394" s="1" t="str">
        <f t="shared" si="832"/>
        <v>-</v>
      </c>
    </row>
    <row r="1395" spans="2:11" x14ac:dyDescent="0.25">
      <c r="B1395" s="5" t="str">
        <f t="shared" si="800"/>
        <v>SPS4</v>
      </c>
      <c r="C1395" s="5" t="str">
        <f t="shared" si="811"/>
        <v>CH</v>
      </c>
      <c r="D1395" t="s">
        <v>1391</v>
      </c>
      <c r="E1395" t="s">
        <v>1230</v>
      </c>
      <c r="F1395" s="1" t="str">
        <f t="shared" ref="F1395:K1395" si="833">IFERROR(F1371/F1347,"-")</f>
        <v>-</v>
      </c>
      <c r="G1395" s="1">
        <f t="shared" si="833"/>
        <v>5.6422133461237117E-2</v>
      </c>
      <c r="H1395" s="1">
        <f t="shared" si="833"/>
        <v>5.8694224675628369E-2</v>
      </c>
      <c r="I1395" s="1" t="str">
        <f t="shared" si="833"/>
        <v>-</v>
      </c>
      <c r="J1395" s="1">
        <f t="shared" si="833"/>
        <v>7.0958063870597402E-2</v>
      </c>
      <c r="K1395" s="1">
        <f t="shared" si="833"/>
        <v>7.7668679028430804E-2</v>
      </c>
    </row>
    <row r="1396" spans="2:11" x14ac:dyDescent="0.25">
      <c r="B1396" s="5" t="str">
        <f t="shared" ref="B1396:B1459" si="834">B1395</f>
        <v>SPS4</v>
      </c>
      <c r="C1396" s="5" t="str">
        <f t="shared" si="811"/>
        <v>CH</v>
      </c>
      <c r="D1396" t="s">
        <v>1392</v>
      </c>
      <c r="E1396" t="s">
        <v>1230</v>
      </c>
      <c r="F1396" s="1" t="str">
        <f t="shared" ref="F1396:K1396" si="835">IFERROR(F1372/F1348,"-")</f>
        <v>-</v>
      </c>
      <c r="G1396" s="1" t="str">
        <f t="shared" si="835"/>
        <v>-</v>
      </c>
      <c r="H1396" s="1" t="str">
        <f t="shared" si="835"/>
        <v>-</v>
      </c>
      <c r="I1396" s="1" t="str">
        <f t="shared" si="835"/>
        <v>-</v>
      </c>
      <c r="J1396" s="1" t="str">
        <f t="shared" si="835"/>
        <v>-</v>
      </c>
      <c r="K1396" s="1" t="str">
        <f t="shared" si="835"/>
        <v>-</v>
      </c>
    </row>
    <row r="1397" spans="2:11" x14ac:dyDescent="0.25">
      <c r="B1397" s="9" t="str">
        <f t="shared" si="834"/>
        <v>SPS4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0.81131220327743558</v>
      </c>
      <c r="G1397" s="3">
        <f t="shared" ref="G1397" si="836">G1398+G1404+G1409+G1423</f>
        <v>0.77629903609294049</v>
      </c>
      <c r="H1397" s="3">
        <f t="shared" ref="H1397" si="837">H1398+H1404+H1409+H1423</f>
        <v>0.96801320802959212</v>
      </c>
      <c r="I1397" s="3">
        <f t="shared" ref="I1397" si="838">I1398+I1404+I1409+I1423</f>
        <v>0.61509994036368654</v>
      </c>
      <c r="J1397" s="3">
        <f t="shared" ref="J1397" si="839">J1398+J1404+J1409+J1423</f>
        <v>0.56944160852307146</v>
      </c>
      <c r="K1397" s="3">
        <f t="shared" ref="K1397" si="840">K1398+K1404+K1409+K1423</f>
        <v>0.51598575959237991</v>
      </c>
    </row>
    <row r="1398" spans="2:11" x14ac:dyDescent="0.25">
      <c r="B1398" s="5" t="str">
        <f t="shared" si="834"/>
        <v>SPS4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1.6650345084990152E-3</v>
      </c>
      <c r="G1398" s="1">
        <f t="shared" ref="G1398" si="841">SUM(G1399:G1403)</f>
        <v>3.2274075417497283E-3</v>
      </c>
      <c r="H1398" s="1">
        <f t="shared" ref="H1398" si="842">SUM(H1399:H1403)</f>
        <v>3.3678386471032952E-3</v>
      </c>
      <c r="I1398" s="1">
        <f t="shared" ref="I1398" si="843">SUM(I1399:I1403)</f>
        <v>0.21601547848692287</v>
      </c>
      <c r="J1398" s="1">
        <f t="shared" ref="J1398" si="844">SUM(J1399:J1403)</f>
        <v>0.20317732588786758</v>
      </c>
      <c r="K1398" s="1">
        <f t="shared" ref="K1398" si="845">SUM(K1399:K1403)</f>
        <v>0.17299167948779567</v>
      </c>
    </row>
    <row r="1399" spans="2:11" x14ac:dyDescent="0.25">
      <c r="B1399" s="5" t="str">
        <f t="shared" si="834"/>
        <v>SPS4</v>
      </c>
      <c r="C1399" s="5" t="str">
        <f t="shared" ref="C1399:C1432" si="846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34"/>
        <v>SPS4</v>
      </c>
      <c r="C1400" s="5" t="str">
        <f t="shared" si="846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3.9773529059706364E-4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5.6903540827223759E-4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5.0006712825860521E-4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0.14450661963289924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0.13690673225025676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0.11839594248656336</v>
      </c>
    </row>
    <row r="1401" spans="2:11" x14ac:dyDescent="0.25">
      <c r="B1401" s="5" t="str">
        <f t="shared" si="834"/>
        <v>SPS4</v>
      </c>
      <c r="C1401" s="5" t="str">
        <f t="shared" si="846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9.5576038254407481E-4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1.9866356406019687E-3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2.1193122169079572E-3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7.094670870168214E-2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6.5418922398015916E-2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5.4160161927995276E-2</v>
      </c>
    </row>
    <row r="1402" spans="2:11" x14ac:dyDescent="0.25">
      <c r="B1402" s="5" t="str">
        <f t="shared" si="834"/>
        <v>SPS4</v>
      </c>
      <c r="C1402" s="5" t="str">
        <f t="shared" si="846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3.1153883535787682E-4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6.5262155573130921E-4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7.0310811857028741E-4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5.299012275808095E-4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7.983782228242163E-4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4.2252684169976175E-4</v>
      </c>
    </row>
    <row r="1403" spans="2:11" x14ac:dyDescent="0.25">
      <c r="B1403" s="5" t="str">
        <f t="shared" si="834"/>
        <v>SPS4</v>
      </c>
      <c r="C1403" s="5" t="str">
        <f t="shared" si="846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1.9114937144212841E-5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4.535118336644519E-5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3.224892476069196E-5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5.3293016770669644E-5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1.3048231537237213E-5</v>
      </c>
    </row>
    <row r="1404" spans="2:11" x14ac:dyDescent="0.25">
      <c r="B1404" s="5" t="str">
        <f t="shared" si="834"/>
        <v>SPS4</v>
      </c>
      <c r="C1404" s="5" t="str">
        <f t="shared" si="846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47">SUM(G1405:G1408)</f>
        <v>0</v>
      </c>
      <c r="H1404" s="1">
        <f t="shared" ref="H1404" si="848">SUM(H1405:H1408)</f>
        <v>0</v>
      </c>
      <c r="I1404" s="1">
        <f t="shared" ref="I1404" si="849">SUM(I1405:I1408)</f>
        <v>5.7130985952386822E-5</v>
      </c>
      <c r="J1404" s="1">
        <f t="shared" ref="J1404" si="850">SUM(J1405:J1408)</f>
        <v>3.5311209893045355E-5</v>
      </c>
      <c r="K1404" s="1">
        <f t="shared" ref="K1404" si="851">SUM(K1405:K1408)</f>
        <v>3.1173236114351013E-5</v>
      </c>
    </row>
    <row r="1405" spans="2:11" x14ac:dyDescent="0.25">
      <c r="B1405" s="5" t="str">
        <f t="shared" si="834"/>
        <v>SPS4</v>
      </c>
      <c r="C1405" s="5" t="str">
        <f t="shared" si="846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1.567374065912163E-5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4.5551258923527318E-6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5.1168155399218577E-6</v>
      </c>
    </row>
    <row r="1406" spans="2:11" x14ac:dyDescent="0.25">
      <c r="B1406" s="5" t="str">
        <f t="shared" si="834"/>
        <v>SPS4</v>
      </c>
      <c r="C1406" s="5" t="str">
        <f t="shared" si="846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2.3495496378725539E-5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1.1122149629626646E-5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1.0773028219622047E-5</v>
      </c>
    </row>
    <row r="1407" spans="2:11" x14ac:dyDescent="0.25">
      <c r="B1407" s="5" t="str">
        <f t="shared" si="834"/>
        <v>SPS4</v>
      </c>
      <c r="C1407" s="5" t="str">
        <f t="shared" si="846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1.7961748914539653E-5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1.9502924331252825E-5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1.5283392354807107E-5</v>
      </c>
    </row>
    <row r="1408" spans="2:11" x14ac:dyDescent="0.25">
      <c r="B1408" s="5" t="str">
        <f t="shared" si="834"/>
        <v>SPS4</v>
      </c>
      <c r="C1408" s="5" t="str">
        <f t="shared" si="846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1.3101003981315101E-7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34"/>
        <v>SPS4</v>
      </c>
      <c r="C1409" s="5" t="str">
        <f t="shared" si="846"/>
        <v>CH</v>
      </c>
      <c r="D1409" t="s">
        <v>1407</v>
      </c>
      <c r="E1409" t="s">
        <v>8</v>
      </c>
      <c r="F1409" s="1">
        <f>SUM(F1414:F1422)</f>
        <v>0.80950887010907835</v>
      </c>
      <c r="G1409" s="1">
        <f t="shared" ref="G1409:K1409" si="852">SUM(G1414:G1422)</f>
        <v>0.77277061395162039</v>
      </c>
      <c r="H1409" s="1">
        <f t="shared" si="852"/>
        <v>0.96357920402280728</v>
      </c>
      <c r="I1409" s="1">
        <f t="shared" si="852"/>
        <v>0.39902733089081133</v>
      </c>
      <c r="J1409" s="1">
        <f t="shared" si="852"/>
        <v>0.36622897142531086</v>
      </c>
      <c r="K1409" s="1">
        <f t="shared" si="852"/>
        <v>0.34296290686846986</v>
      </c>
    </row>
    <row r="1410" spans="2:11" x14ac:dyDescent="0.25">
      <c r="B1410" s="5" t="str">
        <f t="shared" si="834"/>
        <v>SPS4</v>
      </c>
      <c r="C1410" s="5" t="str">
        <f t="shared" si="846"/>
        <v>CH</v>
      </c>
      <c r="D1410" t="s">
        <v>1408</v>
      </c>
      <c r="E1410" t="s">
        <v>8</v>
      </c>
      <c r="F1410" s="1">
        <f>F1409-F1411</f>
        <v>0.789506037864799</v>
      </c>
      <c r="G1410" s="1">
        <f t="shared" ref="G1410" si="853">G1409-G1411</f>
        <v>0.75185401038416944</v>
      </c>
      <c r="H1410" s="1">
        <f t="shared" ref="H1410" si="854">H1409-H1411</f>
        <v>0.93150834620984868</v>
      </c>
      <c r="I1410" s="1">
        <f t="shared" ref="I1410" si="855">I1409-I1411</f>
        <v>0.38374856617882624</v>
      </c>
      <c r="J1410" s="1">
        <f t="shared" ref="J1410" si="856">J1409-J1411</f>
        <v>0.35600571671117326</v>
      </c>
      <c r="K1410" s="1">
        <f t="shared" ref="K1410" si="857">K1409-K1411</f>
        <v>0.33395149145908198</v>
      </c>
    </row>
    <row r="1411" spans="2:11" x14ac:dyDescent="0.25">
      <c r="B1411" s="5" t="str">
        <f t="shared" si="834"/>
        <v>SPS4</v>
      </c>
      <c r="C1411" s="5" t="str">
        <f t="shared" si="846"/>
        <v>CH</v>
      </c>
      <c r="D1411" t="s">
        <v>1409</v>
      </c>
      <c r="E1411" t="s">
        <v>8</v>
      </c>
      <c r="F1411" s="1">
        <f>SUM(F1412:F1413)</f>
        <v>2.00028322442793E-2</v>
      </c>
      <c r="G1411" s="1">
        <f t="shared" ref="G1411" si="858">SUM(G1412:G1413)</f>
        <v>2.0916603567450967E-2</v>
      </c>
      <c r="H1411" s="1">
        <f t="shared" ref="H1411" si="859">SUM(H1412:H1413)</f>
        <v>3.2070857812958646E-2</v>
      </c>
      <c r="I1411" s="1">
        <f t="shared" ref="I1411" si="860">SUM(I1412:I1413)</f>
        <v>1.5278764711985081E-2</v>
      </c>
      <c r="J1411" s="1">
        <f t="shared" ref="J1411" si="861">SUM(J1412:J1413)</f>
        <v>1.022325471413758E-2</v>
      </c>
      <c r="K1411" s="1">
        <f t="shared" ref="K1411" si="862">SUM(K1412:K1413)</f>
        <v>9.0114154093879038E-3</v>
      </c>
    </row>
    <row r="1412" spans="2:11" x14ac:dyDescent="0.25">
      <c r="B1412" s="5" t="str">
        <f t="shared" si="834"/>
        <v>SPS4</v>
      </c>
      <c r="C1412" s="5" t="str">
        <f t="shared" si="846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2.00028322442793E-2</v>
      </c>
      <c r="G1412" s="1">
        <f>[1]Transport!C$26/SUM([1]Transport!C$22,[1]Transport!C$26)*G1409*(G$33+G$580)/(G$33+G$580+G$36)</f>
        <v>2.0916603567450967E-2</v>
      </c>
      <c r="H1412" s="1">
        <f>[1]Transport!D$26/SUM([1]Transport!D$22,[1]Transport!D$26)*H1409*(H$33+H$580)/(H$33+H$580+H$36)</f>
        <v>3.2070857812958646E-2</v>
      </c>
      <c r="I1412" s="1">
        <f>[1]Transport!E$26/SUM([1]Transport!E$22,[1]Transport!E$26)*I1409*(I$33+I$580)/(I$33+I$580+I$36)</f>
        <v>1.5278764711985081E-2</v>
      </c>
      <c r="J1412" s="1">
        <f>[1]Transport!F$26/SUM([1]Transport!F$22,[1]Transport!F$26)*J1409*(J$33+J$580)/(J$33+J$580+J$36)</f>
        <v>7.4300262052294551E-3</v>
      </c>
      <c r="K1412" s="1">
        <f>[1]Transport!G$26/SUM([1]Transport!G$22,[1]Transport!G$26)*K1409*(K$33+K$580)/(K$33+K$580+K$36)</f>
        <v>9.011021529927693E-3</v>
      </c>
    </row>
    <row r="1413" spans="2:11" x14ac:dyDescent="0.25">
      <c r="B1413" s="5" t="str">
        <f t="shared" si="834"/>
        <v>SPS4</v>
      </c>
      <c r="C1413" s="5" t="str">
        <f t="shared" si="846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2.7932285089081249E-3</v>
      </c>
      <c r="K1413" s="1">
        <f>(K$36+K$716)/([1]Transport!G$22+[1]Transport!G$26)*K1409</f>
        <v>3.9387946021105025E-7</v>
      </c>
    </row>
    <row r="1414" spans="2:11" x14ac:dyDescent="0.25">
      <c r="B1414" s="5" t="str">
        <f t="shared" si="834"/>
        <v>SPS4</v>
      </c>
      <c r="C1414" s="5" t="str">
        <f t="shared" si="846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0.23898443493879454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0.23918290628923727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5.1086042953028474E-4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1.766728260477049E-3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9.8750545346522659E-4</v>
      </c>
    </row>
    <row r="1415" spans="2:11" x14ac:dyDescent="0.25">
      <c r="B1415" s="5" t="str">
        <f t="shared" si="834"/>
        <v>SPS4</v>
      </c>
      <c r="C1415" s="5" t="str">
        <f t="shared" si="846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6.9246033845237972E-4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6.4490000413085164E-3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0.26139254468988088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0.24011181968947382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0.22986576872443532</v>
      </c>
    </row>
    <row r="1416" spans="2:11" x14ac:dyDescent="0.25">
      <c r="B1416" s="5" t="str">
        <f t="shared" si="834"/>
        <v>SPS4</v>
      </c>
      <c r="C1416" s="5" t="str">
        <f t="shared" si="846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2.4983051857486527E-4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1.2860156561384155E-3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0.13711613514152263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0.12432346930782609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0.11210787974311702</v>
      </c>
    </row>
    <row r="1417" spans="2:11" x14ac:dyDescent="0.25">
      <c r="B1417" s="5" t="str">
        <f t="shared" si="834"/>
        <v>SPS4</v>
      </c>
      <c r="C1417" s="5" t="str">
        <f t="shared" si="846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2.5763974622960451E-6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1.3525390306999996E-5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7.7906298775503709E-6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2.3813442978243104E-5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34"/>
        <v>SPS4</v>
      </c>
      <c r="C1418" s="5" t="str">
        <f t="shared" si="846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6.0286071208069452E-3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6.0134839217671114E-3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5.9697033003627744E-3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34"/>
        <v>SPS4</v>
      </c>
      <c r="C1419" s="5" t="str">
        <f t="shared" si="846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0.11348957644920334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5.4672120878155369E-3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7.4163549995636679E-2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</v>
      </c>
    </row>
    <row r="1420" spans="2:11" x14ac:dyDescent="0.25">
      <c r="B1420" s="5" t="str">
        <f t="shared" si="834"/>
        <v>SPS4</v>
      </c>
      <c r="C1420" s="5" t="str">
        <f t="shared" si="846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0.51960212389551386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0.39421003839704455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0.48046585728678209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3.6817586977287479E-7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</v>
      </c>
    </row>
    <row r="1421" spans="2:11" x14ac:dyDescent="0.25">
      <c r="B1421" s="5" t="str">
        <f t="shared" si="834"/>
        <v>SPS4</v>
      </c>
      <c r="C1421" s="5" t="str">
        <f t="shared" si="846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0.15745538153520319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0.12715057735170915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0.15603160286888426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2.7725486858853667E-6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1.7529474522782791E-6</v>
      </c>
    </row>
    <row r="1422" spans="2:11" x14ac:dyDescent="0.25">
      <c r="B1422" s="5" t="str">
        <f t="shared" si="834"/>
        <v>SPS4</v>
      </c>
      <c r="C1422" s="5" t="str">
        <f t="shared" si="846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1.2933181108350922E-2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1.7043194150271587E-5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34"/>
        <v>SPS4</v>
      </c>
      <c r="C1423" s="5" t="str">
        <f t="shared" si="846"/>
        <v>CH</v>
      </c>
      <c r="D1423" t="s">
        <v>1420</v>
      </c>
      <c r="E1423" t="s">
        <v>8</v>
      </c>
      <c r="F1423" s="1">
        <f>SUM(F1428:F1432)</f>
        <v>1.3829865985828159E-4</v>
      </c>
      <c r="G1423" s="1">
        <f t="shared" ref="G1423" si="863">SUM(G1428:G1432)</f>
        <v>3.0101459957027131E-4</v>
      </c>
      <c r="H1423" s="1">
        <f t="shared" ref="H1423" si="864">SUM(H1428:H1432)</f>
        <v>1.0661653596815016E-3</v>
      </c>
      <c r="I1423" s="1">
        <f t="shared" ref="I1423" si="865">SUM(I1428:I1432)</f>
        <v>0</v>
      </c>
      <c r="J1423" s="1">
        <f t="shared" ref="J1423" si="866">SUM(J1428:J1432)</f>
        <v>0</v>
      </c>
      <c r="K1423" s="1">
        <f t="shared" ref="K1423" si="867">SUM(K1428:K1432)</f>
        <v>0</v>
      </c>
    </row>
    <row r="1424" spans="2:11" x14ac:dyDescent="0.25">
      <c r="B1424" s="5" t="str">
        <f t="shared" si="834"/>
        <v>SPS4</v>
      </c>
      <c r="C1424" s="5" t="str">
        <f t="shared" si="846"/>
        <v>CH</v>
      </c>
      <c r="D1424" t="s">
        <v>1421</v>
      </c>
      <c r="E1424" t="s">
        <v>8</v>
      </c>
      <c r="F1424" s="1">
        <f>F1423-F1425</f>
        <v>1.2785741286839187E-4</v>
      </c>
      <c r="G1424" s="1">
        <f t="shared" ref="G1424" si="868">G1423-G1425</f>
        <v>2.7181716742300649E-4</v>
      </c>
      <c r="H1424" s="1">
        <f t="shared" ref="H1424" si="869">H1423-H1425</f>
        <v>9.7043494261617408E-4</v>
      </c>
      <c r="I1424" s="1">
        <f t="shared" ref="I1424" si="870">I1423-I1425</f>
        <v>0</v>
      </c>
      <c r="J1424" s="1">
        <f t="shared" ref="J1424" si="871">J1423-J1425</f>
        <v>0</v>
      </c>
      <c r="K1424" s="1">
        <f t="shared" ref="K1424" si="872">K1423-K1425</f>
        <v>0</v>
      </c>
    </row>
    <row r="1425" spans="2:11" x14ac:dyDescent="0.25">
      <c r="B1425" s="5" t="str">
        <f t="shared" si="834"/>
        <v>SPS4</v>
      </c>
      <c r="C1425" s="5" t="str">
        <f t="shared" si="846"/>
        <v>CH</v>
      </c>
      <c r="D1425" t="s">
        <v>1422</v>
      </c>
      <c r="E1425" t="s">
        <v>8</v>
      </c>
      <c r="F1425" s="1">
        <f>SUM(F1426:F1427)</f>
        <v>1.0441246989889724E-5</v>
      </c>
      <c r="G1425" s="1">
        <f t="shared" ref="G1425" si="873">SUM(G1426:G1427)</f>
        <v>2.9197432147264837E-5</v>
      </c>
      <c r="H1425" s="1">
        <f t="shared" ref="H1425" si="874">SUM(H1426:H1427)</f>
        <v>9.5730417065327539E-5</v>
      </c>
      <c r="I1425" s="1">
        <f t="shared" ref="I1425" si="875">SUM(I1426:I1427)</f>
        <v>0</v>
      </c>
      <c r="J1425" s="1">
        <f t="shared" ref="J1425" si="876">SUM(J1426:J1427)</f>
        <v>0</v>
      </c>
      <c r="K1425" s="1">
        <f t="shared" ref="K1425" si="877">SUM(K1426:K1427)</f>
        <v>0</v>
      </c>
    </row>
    <row r="1426" spans="2:11" x14ac:dyDescent="0.25">
      <c r="B1426" s="5" t="str">
        <f t="shared" si="834"/>
        <v>SPS4</v>
      </c>
      <c r="C1426" s="5" t="str">
        <f t="shared" si="846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1.0441246989889724E-5</v>
      </c>
      <c r="G1426" s="1">
        <f>[1]Transport!C$27/SUM([1]Transport!C$24,[1]Transport!C$27)*G1423*(G$45+G$612)/(G$45+G$612+G$47)</f>
        <v>2.9197432147264837E-5</v>
      </c>
      <c r="H1426" s="1">
        <f>[1]Transport!D$27/SUM([1]Transport!D$24,[1]Transport!D$27)*H1423*(H$45+H$612)/(H$45+H$612+H$47)</f>
        <v>9.5730417065327539E-5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0</v>
      </c>
      <c r="K1426" s="1">
        <f>[1]Transport!G$27/SUM([1]Transport!G$24,[1]Transport!G$27)*K1423*(K$45+K$612)/(K$45+K$612+K$47)</f>
        <v>0</v>
      </c>
    </row>
    <row r="1427" spans="2:11" x14ac:dyDescent="0.25">
      <c r="B1427" s="5" t="str">
        <f t="shared" si="834"/>
        <v>SPS4</v>
      </c>
      <c r="C1427" s="5" t="str">
        <f t="shared" si="846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</v>
      </c>
      <c r="K1427" s="1">
        <f>(K$47+K$714)/([1]Transport!G$24+[1]Transport!G$27)*K1423</f>
        <v>0</v>
      </c>
    </row>
    <row r="1428" spans="2:11" x14ac:dyDescent="0.25">
      <c r="B1428" s="5" t="str">
        <f t="shared" si="834"/>
        <v>SPS4</v>
      </c>
      <c r="C1428" s="5" t="str">
        <f t="shared" si="846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1.3829865985828159E-4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1.3814236768181211E-4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1.3677863589988955E-4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34"/>
        <v>SPS4</v>
      </c>
      <c r="C1429" s="5" t="str">
        <f t="shared" si="846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7.6376196491778294E-5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5.329479789716818E-4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0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25">
      <c r="B1430" s="5" t="str">
        <f t="shared" si="834"/>
        <v>SPS4</v>
      </c>
      <c r="C1430" s="5" t="str">
        <f t="shared" si="846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5.3840089464408686E-5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2.5205881007059924E-4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0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 x14ac:dyDescent="0.25">
      <c r="B1431" s="5" t="str">
        <f t="shared" si="834"/>
        <v>SPS4</v>
      </c>
      <c r="C1431" s="5" t="str">
        <f t="shared" si="846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3.2655945932272241E-5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1.4056480786976547E-4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0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25">
      <c r="B1432" s="5" t="str">
        <f t="shared" si="834"/>
        <v>SPS4</v>
      </c>
      <c r="C1432" s="5" t="str">
        <f t="shared" si="846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3.8151268695655614E-6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 t="shared" si="834"/>
        <v>SPS4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0.13096814158924147</v>
      </c>
      <c r="G1433" s="3">
        <f t="shared" ref="G1433" si="878">SUM(G1434:G1456)</f>
        <v>0.13163981356007173</v>
      </c>
      <c r="H1433" s="3">
        <f t="shared" ref="H1433" si="879">SUM(H1434:H1456)</f>
        <v>0.13267824062800734</v>
      </c>
      <c r="I1433" s="3">
        <f t="shared" ref="I1433" si="880">SUM(I1434:I1456)</f>
        <v>0.1344120219520637</v>
      </c>
      <c r="J1433" s="3">
        <f t="shared" ref="J1433" si="881">SUM(J1434:J1456)</f>
        <v>0.13472078362548096</v>
      </c>
      <c r="K1433" s="3">
        <f t="shared" ref="K1433" si="882">SUM(K1434:K1456)</f>
        <v>0.13113916918069196</v>
      </c>
    </row>
    <row r="1434" spans="2:11" x14ac:dyDescent="0.25">
      <c r="B1434" s="5" t="str">
        <f t="shared" si="834"/>
        <v>SPS4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si="834"/>
        <v>SPS4</v>
      </c>
      <c r="C1435" s="5" t="str">
        <f t="shared" ref="C1435:C1456" si="883">C1434</f>
        <v>CH</v>
      </c>
      <c r="D1435" t="s">
        <v>1430</v>
      </c>
      <c r="E1435" t="str">
        <f t="shared" ref="E1435:E1456" si="884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1.5061965671807632E-4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2.1863560614152712E-4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1.9619818185241628E-4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6.463022501134276E-2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6.4518375739805886E-2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6.293675929464447E-2</v>
      </c>
    </row>
    <row r="1436" spans="2:11" x14ac:dyDescent="0.25">
      <c r="B1436" s="5" t="str">
        <f t="shared" si="834"/>
        <v>SPS4</v>
      </c>
      <c r="C1436" s="5" t="str">
        <f t="shared" si="883"/>
        <v>CH</v>
      </c>
      <c r="D1436" t="s">
        <v>1431</v>
      </c>
      <c r="E1436" t="str">
        <f t="shared" si="884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2.6300681584600765E-4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5.5539610778350336E-4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5.9480245203491868E-4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2.2933392085702355E-2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2.299241402484568E-2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2.0363180946699585E-2</v>
      </c>
    </row>
    <row r="1437" spans="2:11" x14ac:dyDescent="0.25">
      <c r="B1437" s="5" t="str">
        <f t="shared" si="834"/>
        <v>SPS4</v>
      </c>
      <c r="C1437" s="5" t="str">
        <f t="shared" si="883"/>
        <v>CH</v>
      </c>
      <c r="D1437" t="s">
        <v>1432</v>
      </c>
      <c r="E1437" t="str">
        <f t="shared" si="884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5.7002387543607198E-5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1.206929008733257E-4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1.3070632042868805E-4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1.0409816761250824E-4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1.8679497007544659E-4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1.0727852072677164E-4</v>
      </c>
    </row>
    <row r="1438" spans="2:11" x14ac:dyDescent="0.25">
      <c r="B1438" s="5" t="str">
        <f t="shared" si="834"/>
        <v>SPS4</v>
      </c>
      <c r="C1438" s="5" t="str">
        <f t="shared" si="883"/>
        <v>CH</v>
      </c>
      <c r="D1438" t="s">
        <v>1433</v>
      </c>
      <c r="E1438" t="str">
        <f t="shared" si="884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2.4167835253649553E-6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5.8803352586563176E-6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4.5252050977214523E-6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8.3771933729378198E-6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2.2376140105544434E-6</v>
      </c>
    </row>
    <row r="1439" spans="2:11" x14ac:dyDescent="0.25">
      <c r="B1439" s="5" t="str">
        <f t="shared" si="834"/>
        <v>SPS4</v>
      </c>
      <c r="C1439" s="5" t="str">
        <f t="shared" si="883"/>
        <v>CH</v>
      </c>
      <c r="D1439" t="s">
        <v>1434</v>
      </c>
      <c r="E1439" t="str">
        <f t="shared" si="884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3.6739524236235854E-6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1.2086695180696099E-6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1.5224315063186008E-6</v>
      </c>
    </row>
    <row r="1440" spans="2:11" x14ac:dyDescent="0.25">
      <c r="B1440" s="5" t="str">
        <f t="shared" si="834"/>
        <v>SPS4</v>
      </c>
      <c r="C1440" s="5" t="str">
        <f t="shared" si="883"/>
        <v>CH</v>
      </c>
      <c r="D1440" t="s">
        <v>1435</v>
      </c>
      <c r="E1440" t="str">
        <f t="shared" si="884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3.9731240218183625E-6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2.0940627806547506E-6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2.294256282816371E-6</v>
      </c>
    </row>
    <row r="1441" spans="2:11" x14ac:dyDescent="0.25">
      <c r="B1441" s="5" t="str">
        <f t="shared" si="834"/>
        <v>SPS4</v>
      </c>
      <c r="C1441" s="5" t="str">
        <f t="shared" si="883"/>
        <v>CH</v>
      </c>
      <c r="D1441" t="s">
        <v>1436</v>
      </c>
      <c r="E1441" t="str">
        <f t="shared" si="884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2.0316245259822953E-6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2.4723813551024758E-6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2.2014322186284574E-6</v>
      </c>
    </row>
    <row r="1442" spans="2:11" x14ac:dyDescent="0.25">
      <c r="B1442" s="5" t="str">
        <f t="shared" si="834"/>
        <v>SPS4</v>
      </c>
      <c r="C1442" s="5" t="str">
        <f t="shared" si="883"/>
        <v>CH</v>
      </c>
      <c r="D1442" t="s">
        <v>1437</v>
      </c>
      <c r="E1442" t="str">
        <f t="shared" si="884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1.06820243167017E-8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834"/>
        <v>SPS4</v>
      </c>
      <c r="C1443" s="5" t="str">
        <f t="shared" si="883"/>
        <v>CH</v>
      </c>
      <c r="D1443" t="s">
        <v>1438</v>
      </c>
      <c r="E1443" t="str">
        <f t="shared" si="884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3.8838244689949994E-2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3.8872366871846094E-2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8.9321833772846291E-5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3.4756331698354126E-4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2.1155223296835153E-4</v>
      </c>
    </row>
    <row r="1444" spans="2:11" x14ac:dyDescent="0.25">
      <c r="B1444" s="5" t="str">
        <f t="shared" si="834"/>
        <v>SPS4</v>
      </c>
      <c r="C1444" s="5" t="str">
        <f t="shared" si="883"/>
        <v>CH</v>
      </c>
      <c r="D1444" t="s">
        <v>1439</v>
      </c>
      <c r="E1444" t="str">
        <f t="shared" si="884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8.0667429212803095E-5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7.8502176604587301E-4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3.4470881639433515E-2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3.4544893204488537E-2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3.5644253758626579E-2</v>
      </c>
    </row>
    <row r="1445" spans="2:11" x14ac:dyDescent="0.25">
      <c r="B1445" s="5" t="str">
        <f t="shared" si="834"/>
        <v>SPS4</v>
      </c>
      <c r="C1445" s="5" t="str">
        <f t="shared" si="883"/>
        <v>CH</v>
      </c>
      <c r="D1445" t="s">
        <v>1440</v>
      </c>
      <c r="E1445" t="str">
        <f t="shared" si="884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1.9545697521490806E-5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1.0472334219083188E-4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1.2169443703045377E-2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1.2114779897509195E-2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1.1867744660879007E-2</v>
      </c>
    </row>
    <row r="1446" spans="2:11" x14ac:dyDescent="0.25">
      <c r="B1446" s="5" t="str">
        <f t="shared" si="834"/>
        <v>SPS4</v>
      </c>
      <c r="C1446" s="5" t="str">
        <f t="shared" si="883"/>
        <v>CH</v>
      </c>
      <c r="D1446" t="s">
        <v>1441</v>
      </c>
      <c r="E1446" t="str">
        <f t="shared" si="884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1.3590867571175693E-7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7.3449563007707772E-7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4.5560508518721985E-7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1.5512676053486032E-6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834"/>
        <v>SPS4</v>
      </c>
      <c r="C1447" s="5" t="str">
        <f t="shared" si="883"/>
        <v>CH</v>
      </c>
      <c r="D1447" t="s">
        <v>2117</v>
      </c>
      <c r="E1447" t="str">
        <f t="shared" si="884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5.9986145557374394E-2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4.7985957917089601E-2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2.9991444551303429E-2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834"/>
        <v>SPS4</v>
      </c>
      <c r="C1448" s="5" t="str">
        <f t="shared" si="883"/>
        <v>CH</v>
      </c>
      <c r="D1448" t="s">
        <v>1442</v>
      </c>
      <c r="E1448" t="str">
        <f t="shared" si="884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1.4063533831921172E-2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6.8474198539570036E-4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9.9751484526680034E-3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0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0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0</v>
      </c>
    </row>
    <row r="1449" spans="2:11" x14ac:dyDescent="0.25">
      <c r="B1449" s="5" t="str">
        <f t="shared" si="834"/>
        <v>SPS4</v>
      </c>
      <c r="C1449" s="5" t="str">
        <f t="shared" si="883"/>
        <v>CH</v>
      </c>
      <c r="D1449" t="s">
        <v>1443</v>
      </c>
      <c r="E1449" t="str">
        <f t="shared" si="884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4.5447440173807752E-2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3.4618049824612612E-2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4.2164598474242927E-2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4.1764961719261304E-8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0</v>
      </c>
    </row>
    <row r="1450" spans="2:11" x14ac:dyDescent="0.25">
      <c r="B1450" s="5" t="str">
        <f t="shared" si="834"/>
        <v>SPS4</v>
      </c>
      <c r="C1450" s="5" t="str">
        <f t="shared" si="883"/>
        <v>CH</v>
      </c>
      <c r="D1450" t="s">
        <v>1444</v>
      </c>
      <c r="E1450" t="str">
        <f t="shared" si="884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9.1244650389069575E-3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7.3977928950387274E-3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9.0721578222852477E-3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0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2.0645015452771082E-7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1.440321288618585E-7</v>
      </c>
    </row>
    <row r="1451" spans="2:11" x14ac:dyDescent="0.25">
      <c r="B1451" s="5" t="str">
        <f t="shared" si="834"/>
        <v>SPS4</v>
      </c>
      <c r="C1451" s="5" t="str">
        <f t="shared" si="883"/>
        <v>CH</v>
      </c>
      <c r="D1451" t="s">
        <v>1445</v>
      </c>
      <c r="E1451" t="str">
        <f t="shared" si="884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4.9982194299083788E-4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6.7388633228054228E-7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834"/>
        <v>SPS4</v>
      </c>
      <c r="C1452" s="5" t="str">
        <f t="shared" si="883"/>
        <v>CH</v>
      </c>
      <c r="D1452" t="s">
        <v>2120</v>
      </c>
      <c r="E1452" t="str">
        <f t="shared" si="884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1.3761061841326696E-3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1.1019337076489605E-3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6.8616638855697749E-4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834"/>
        <v>SPS4</v>
      </c>
      <c r="C1453" s="5" t="str">
        <f t="shared" si="883"/>
        <v>CH</v>
      </c>
      <c r="D1453" t="s">
        <v>1446</v>
      </c>
      <c r="E1453" t="str">
        <f t="shared" si="884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9.1832844339933871E-6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6.6988622378244471E-5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0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25">
      <c r="B1454" s="5" t="str">
        <f t="shared" si="834"/>
        <v>SPS4</v>
      </c>
      <c r="C1454" s="5" t="str">
        <f t="shared" si="883"/>
        <v>CH</v>
      </c>
      <c r="D1454" t="s">
        <v>1447</v>
      </c>
      <c r="E1454" t="str">
        <f t="shared" si="884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4.5763040287201291E-6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2.2254804220663633E-5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0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 x14ac:dyDescent="0.25">
      <c r="B1455" s="5" t="str">
        <f t="shared" si="834"/>
        <v>SPS4</v>
      </c>
      <c r="C1455" s="5" t="str">
        <f t="shared" si="883"/>
        <v>CH</v>
      </c>
      <c r="D1455" t="s">
        <v>1448</v>
      </c>
      <c r="E1455" t="str">
        <f t="shared" si="884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1.8425181396936082E-6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8.222500422431402E-6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0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25">
      <c r="B1456" s="5" t="str">
        <f t="shared" si="834"/>
        <v>SPS4</v>
      </c>
      <c r="C1456" s="5" t="str">
        <f t="shared" si="883"/>
        <v>CH</v>
      </c>
      <c r="D1456" t="s">
        <v>1449</v>
      </c>
      <c r="E1456" t="str">
        <f t="shared" si="884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1.5136030958524932E-7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 t="shared" si="834"/>
        <v>SPS4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si="834"/>
        <v>SPS4</v>
      </c>
      <c r="C1458" s="5" t="str">
        <f t="shared" ref="C1458:C1480" si="885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886">IFERROR(G1434/G1399,"-")</f>
        <v>-</v>
      </c>
      <c r="H1458" s="1" t="str">
        <f t="shared" si="886"/>
        <v>-</v>
      </c>
      <c r="I1458" s="1" t="str">
        <f t="shared" si="886"/>
        <v>-</v>
      </c>
      <c r="J1458" s="1" t="str">
        <f t="shared" si="886"/>
        <v>-</v>
      </c>
      <c r="K1458" s="1" t="str">
        <f t="shared" si="886"/>
        <v>-</v>
      </c>
    </row>
    <row r="1459" spans="2:11" x14ac:dyDescent="0.25">
      <c r="B1459" s="5" t="str">
        <f t="shared" si="834"/>
        <v>SPS4</v>
      </c>
      <c r="C1459" s="5" t="str">
        <f t="shared" si="885"/>
        <v>CH</v>
      </c>
      <c r="D1459" t="s">
        <v>1451</v>
      </c>
      <c r="E1459" t="s">
        <v>1230</v>
      </c>
      <c r="F1459" s="1">
        <f t="shared" ref="F1459:K1459" si="887">IFERROR(F1435/F1400,"-")</f>
        <v>0.37869321701871711</v>
      </c>
      <c r="G1459" s="1">
        <f t="shared" si="887"/>
        <v>0.38422144380324325</v>
      </c>
      <c r="H1459" s="1">
        <f t="shared" si="887"/>
        <v>0.39234368900759692</v>
      </c>
      <c r="I1459" s="1">
        <f t="shared" si="887"/>
        <v>0.44724750447784095</v>
      </c>
      <c r="J1459" s="1">
        <f t="shared" si="887"/>
        <v>0.47125787519251</v>
      </c>
      <c r="K1459" s="1">
        <f t="shared" si="887"/>
        <v>0.53157868397210573</v>
      </c>
    </row>
    <row r="1460" spans="2:11" x14ac:dyDescent="0.25">
      <c r="B1460" s="5" t="str">
        <f t="shared" ref="B1460:B1523" si="888">B1459</f>
        <v>SPS4</v>
      </c>
      <c r="C1460" s="5" t="str">
        <f t="shared" si="885"/>
        <v>CH</v>
      </c>
      <c r="D1460" t="s">
        <v>1452</v>
      </c>
      <c r="E1460" t="s">
        <v>1230</v>
      </c>
      <c r="F1460" s="1">
        <f t="shared" ref="F1460:K1460" si="889">IFERROR(F1436/F1401,"-")</f>
        <v>0.27518070496490693</v>
      </c>
      <c r="G1460" s="1">
        <f t="shared" si="889"/>
        <v>0.27956616524568806</v>
      </c>
      <c r="H1460" s="1">
        <f t="shared" si="889"/>
        <v>0.28065824718489379</v>
      </c>
      <c r="I1460" s="1">
        <f t="shared" si="889"/>
        <v>0.32324814646628713</v>
      </c>
      <c r="J1460" s="1">
        <f t="shared" si="889"/>
        <v>0.3514642733635584</v>
      </c>
      <c r="K1460" s="1">
        <f t="shared" si="889"/>
        <v>0.37598079883461166</v>
      </c>
    </row>
    <row r="1461" spans="2:11" x14ac:dyDescent="0.25">
      <c r="B1461" s="5" t="str">
        <f t="shared" si="888"/>
        <v>SPS4</v>
      </c>
      <c r="C1461" s="5" t="str">
        <f t="shared" si="885"/>
        <v>CH</v>
      </c>
      <c r="D1461" t="s">
        <v>1453</v>
      </c>
      <c r="E1461" t="s">
        <v>1230</v>
      </c>
      <c r="F1461" s="1">
        <f t="shared" ref="F1461:K1461" si="890">IFERROR(F1437/F1402,"-")</f>
        <v>0.18297040713439894</v>
      </c>
      <c r="G1461" s="1">
        <f t="shared" si="890"/>
        <v>0.18493551096098973</v>
      </c>
      <c r="H1461" s="1">
        <f t="shared" si="890"/>
        <v>0.18589789674804014</v>
      </c>
      <c r="I1461" s="1">
        <f t="shared" si="890"/>
        <v>0.19644824770033836</v>
      </c>
      <c r="J1461" s="1">
        <f t="shared" si="890"/>
        <v>0.23396801758278213</v>
      </c>
      <c r="K1461" s="1">
        <f t="shared" si="890"/>
        <v>0.25389752824981798</v>
      </c>
    </row>
    <row r="1462" spans="2:11" x14ac:dyDescent="0.25">
      <c r="B1462" s="5" t="str">
        <f t="shared" si="888"/>
        <v>SPS4</v>
      </c>
      <c r="C1462" s="5" t="str">
        <f t="shared" si="885"/>
        <v>CH</v>
      </c>
      <c r="D1462" t="s">
        <v>1454</v>
      </c>
      <c r="E1462" t="s">
        <v>1230</v>
      </c>
      <c r="F1462" s="1" t="str">
        <f t="shared" ref="F1462:K1462" si="891">IFERROR(F1438/F1403,"-")</f>
        <v>-</v>
      </c>
      <c r="G1462" s="1">
        <f t="shared" si="891"/>
        <v>0.12643429100140413</v>
      </c>
      <c r="H1462" s="1">
        <f t="shared" si="891"/>
        <v>0.12966222316939824</v>
      </c>
      <c r="I1462" s="1">
        <f t="shared" si="891"/>
        <v>0.14032111555040744</v>
      </c>
      <c r="J1462" s="1">
        <f t="shared" si="891"/>
        <v>0.15719120216043567</v>
      </c>
      <c r="K1462" s="1">
        <f t="shared" si="891"/>
        <v>0.17148791421800813</v>
      </c>
    </row>
    <row r="1463" spans="2:11" x14ac:dyDescent="0.25">
      <c r="B1463" s="5" t="str">
        <f t="shared" si="888"/>
        <v>SPS4</v>
      </c>
      <c r="C1463" s="5" t="str">
        <f t="shared" si="885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892">IFERROR(G1439/G1405,"-")</f>
        <v>-</v>
      </c>
      <c r="H1463" s="1" t="str">
        <f t="shared" si="892"/>
        <v>-</v>
      </c>
      <c r="I1463" s="1">
        <f t="shared" si="892"/>
        <v>0.23440176174444097</v>
      </c>
      <c r="J1463" s="1">
        <f t="shared" si="892"/>
        <v>0.2653427252359275</v>
      </c>
      <c r="K1463" s="1">
        <f t="shared" si="892"/>
        <v>0.29753495986721673</v>
      </c>
    </row>
    <row r="1464" spans="2:11" x14ac:dyDescent="0.25">
      <c r="B1464" s="5" t="str">
        <f t="shared" si="888"/>
        <v>SPS4</v>
      </c>
      <c r="C1464" s="5" t="str">
        <f t="shared" si="885"/>
        <v>CH</v>
      </c>
      <c r="D1464" t="s">
        <v>1456</v>
      </c>
      <c r="E1464" t="s">
        <v>1230</v>
      </c>
      <c r="F1464" s="1" t="str">
        <f t="shared" ref="F1464:K1464" si="893">IFERROR(F1440/F1406,"-")</f>
        <v>-</v>
      </c>
      <c r="G1464" s="1" t="str">
        <f t="shared" si="893"/>
        <v>-</v>
      </c>
      <c r="H1464" s="1" t="str">
        <f t="shared" si="893"/>
        <v>-</v>
      </c>
      <c r="I1464" s="1">
        <f t="shared" si="893"/>
        <v>0.16910151451049599</v>
      </c>
      <c r="J1464" s="1">
        <f t="shared" si="893"/>
        <v>0.18827860174409874</v>
      </c>
      <c r="K1464" s="1">
        <f t="shared" si="893"/>
        <v>0.21296298831164309</v>
      </c>
    </row>
    <row r="1465" spans="2:11" x14ac:dyDescent="0.25">
      <c r="B1465" s="5" t="str">
        <f t="shared" si="888"/>
        <v>SPS4</v>
      </c>
      <c r="C1465" s="5" t="str">
        <f t="shared" si="885"/>
        <v>CH</v>
      </c>
      <c r="D1465" t="s">
        <v>1457</v>
      </c>
      <c r="E1465" t="s">
        <v>1230</v>
      </c>
      <c r="F1465" s="1" t="str">
        <f t="shared" ref="F1465:K1465" si="894">IFERROR(F1441/F1407,"-")</f>
        <v>-</v>
      </c>
      <c r="G1465" s="1" t="str">
        <f t="shared" si="894"/>
        <v>-</v>
      </c>
      <c r="H1465" s="1" t="str">
        <f t="shared" si="894"/>
        <v>-</v>
      </c>
      <c r="I1465" s="1">
        <f t="shared" si="894"/>
        <v>0.113108391373723</v>
      </c>
      <c r="J1465" s="1">
        <f t="shared" si="894"/>
        <v>0.12676977632223912</v>
      </c>
      <c r="K1465" s="1">
        <f t="shared" si="894"/>
        <v>0.1440408102809739</v>
      </c>
    </row>
    <row r="1466" spans="2:11" x14ac:dyDescent="0.25">
      <c r="B1466" s="5" t="str">
        <f t="shared" si="888"/>
        <v>SPS4</v>
      </c>
      <c r="C1466" s="5" t="str">
        <f t="shared" si="885"/>
        <v>CH</v>
      </c>
      <c r="D1466" t="s">
        <v>1458</v>
      </c>
      <c r="E1466" t="s">
        <v>1230</v>
      </c>
      <c r="F1466" s="1" t="str">
        <f t="shared" ref="F1466:K1466" si="895">IFERROR(F1442/F1408,"-")</f>
        <v>-</v>
      </c>
      <c r="G1466" s="1" t="str">
        <f t="shared" si="895"/>
        <v>-</v>
      </c>
      <c r="H1466" s="1" t="str">
        <f t="shared" si="895"/>
        <v>-</v>
      </c>
      <c r="I1466" s="1" t="str">
        <f t="shared" si="895"/>
        <v>-</v>
      </c>
      <c r="J1466" s="1">
        <f t="shared" si="895"/>
        <v>8.1535921460191937E-2</v>
      </c>
      <c r="K1466" s="1" t="str">
        <f t="shared" si="895"/>
        <v>-</v>
      </c>
    </row>
    <row r="1467" spans="2:11" x14ac:dyDescent="0.25">
      <c r="B1467" s="5" t="str">
        <f t="shared" si="888"/>
        <v>SPS4</v>
      </c>
      <c r="C1467" s="5" t="str">
        <f t="shared" si="885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896">IFERROR(G1443/G1414,"-")</f>
        <v>0.16251369968883839</v>
      </c>
      <c r="H1467" s="1">
        <f t="shared" si="896"/>
        <v>0.16252150906151636</v>
      </c>
      <c r="I1467" s="1">
        <f t="shared" si="896"/>
        <v>0.17484586515141534</v>
      </c>
      <c r="J1467" s="1">
        <f t="shared" si="896"/>
        <v>0.19672709423332188</v>
      </c>
      <c r="K1467" s="1">
        <f t="shared" si="896"/>
        <v>0.21422892625655865</v>
      </c>
    </row>
    <row r="1468" spans="2:11" x14ac:dyDescent="0.25">
      <c r="B1468" s="5" t="str">
        <f t="shared" si="888"/>
        <v>SPS4</v>
      </c>
      <c r="C1468" s="5" t="str">
        <f t="shared" si="885"/>
        <v>CH</v>
      </c>
      <c r="D1468" t="s">
        <v>1460</v>
      </c>
      <c r="E1468" t="s">
        <v>1230</v>
      </c>
      <c r="F1468" s="1" t="str">
        <f t="shared" ref="F1468:K1468" si="897">IFERROR(F1444/F1415,"-")</f>
        <v>-</v>
      </c>
      <c r="G1468" s="1">
        <f t="shared" si="897"/>
        <v>0.11649393435744128</v>
      </c>
      <c r="H1468" s="1">
        <f t="shared" si="897"/>
        <v>0.12172767266513931</v>
      </c>
      <c r="I1468" s="1">
        <f t="shared" si="897"/>
        <v>0.13187400459462287</v>
      </c>
      <c r="J1468" s="1">
        <f t="shared" si="897"/>
        <v>0.14387002376294489</v>
      </c>
      <c r="K1468" s="1">
        <f t="shared" si="897"/>
        <v>0.15506551478466182</v>
      </c>
    </row>
    <row r="1469" spans="2:11" x14ac:dyDescent="0.25">
      <c r="B1469" s="5" t="str">
        <f t="shared" si="888"/>
        <v>SPS4</v>
      </c>
      <c r="C1469" s="5" t="str">
        <f t="shared" si="885"/>
        <v>CH</v>
      </c>
      <c r="D1469" t="s">
        <v>1461</v>
      </c>
      <c r="E1469" t="s">
        <v>1230</v>
      </c>
      <c r="F1469" s="1" t="str">
        <f t="shared" ref="F1469:K1469" si="898">IFERROR(F1445/F1416,"-")</f>
        <v>-</v>
      </c>
      <c r="G1469" s="1">
        <f t="shared" si="898"/>
        <v>7.8235828164578941E-2</v>
      </c>
      <c r="H1469" s="1">
        <f t="shared" si="898"/>
        <v>8.1432400679545366E-2</v>
      </c>
      <c r="I1469" s="1">
        <f t="shared" si="898"/>
        <v>8.8752820304370775E-2</v>
      </c>
      <c r="J1469" s="1">
        <f t="shared" si="898"/>
        <v>9.7445638904371981E-2</v>
      </c>
      <c r="K1469" s="1">
        <f t="shared" si="898"/>
        <v>0.1058600402404599</v>
      </c>
    </row>
    <row r="1470" spans="2:11" x14ac:dyDescent="0.25">
      <c r="B1470" s="5" t="str">
        <f t="shared" si="888"/>
        <v>SPS4</v>
      </c>
      <c r="C1470" s="5" t="str">
        <f t="shared" si="885"/>
        <v>CH</v>
      </c>
      <c r="D1470" t="s">
        <v>1462</v>
      </c>
      <c r="E1470" t="s">
        <v>1230</v>
      </c>
      <c r="F1470" s="1" t="str">
        <f t="shared" ref="F1470:K1470" si="899">IFERROR(F1446/F1417,"-")</f>
        <v>-</v>
      </c>
      <c r="G1470" s="1">
        <f t="shared" si="899"/>
        <v>5.2751439830497751E-2</v>
      </c>
      <c r="H1470" s="1">
        <f t="shared" si="899"/>
        <v>5.4304948944574508E-2</v>
      </c>
      <c r="I1470" s="1">
        <f t="shared" si="899"/>
        <v>5.8481161645234904E-2</v>
      </c>
      <c r="J1470" s="1">
        <f t="shared" si="899"/>
        <v>6.5142516635074657E-2</v>
      </c>
      <c r="K1470" s="1" t="str">
        <f t="shared" si="899"/>
        <v>-</v>
      </c>
    </row>
    <row r="1471" spans="2:11" x14ac:dyDescent="0.25">
      <c r="B1471" s="5" t="str">
        <f t="shared" si="888"/>
        <v>SPS4</v>
      </c>
      <c r="C1471" s="5" t="str">
        <f t="shared" si="885"/>
        <v>CH</v>
      </c>
      <c r="D1471" t="s">
        <v>2118</v>
      </c>
      <c r="E1471" t="s">
        <v>1230</v>
      </c>
      <c r="F1471" s="1">
        <f>IFERROR(F1447/F1418,"-")</f>
        <v>9.9502495941956628</v>
      </c>
      <c r="G1471" s="1">
        <f t="shared" ref="G1471:K1471" si="900">IFERROR(G1447/G1418,"-")</f>
        <v>7.9797266512003135</v>
      </c>
      <c r="H1471" s="1">
        <f t="shared" si="900"/>
        <v>5.0239422367072866</v>
      </c>
      <c r="I1471" s="1" t="str">
        <f t="shared" si="900"/>
        <v>-</v>
      </c>
      <c r="J1471" s="1" t="str">
        <f t="shared" si="900"/>
        <v>-</v>
      </c>
      <c r="K1471" s="1" t="str">
        <f t="shared" si="900"/>
        <v>-</v>
      </c>
    </row>
    <row r="1472" spans="2:11" x14ac:dyDescent="0.25">
      <c r="B1472" s="5" t="str">
        <f t="shared" si="888"/>
        <v>SPS4</v>
      </c>
      <c r="C1472" s="5" t="str">
        <f t="shared" si="885"/>
        <v>CH</v>
      </c>
      <c r="D1472" t="s">
        <v>1463</v>
      </c>
      <c r="E1472" t="s">
        <v>1230</v>
      </c>
      <c r="F1472" s="1">
        <f t="shared" ref="F1472:K1472" si="901">IFERROR(F1448/F1419,"-")</f>
        <v>0.12391916748597483</v>
      </c>
      <c r="G1472" s="1">
        <f t="shared" si="901"/>
        <v>0.12524518427257389</v>
      </c>
      <c r="H1472" s="1">
        <f t="shared" si="901"/>
        <v>0.13450203574741068</v>
      </c>
      <c r="I1472" s="1" t="str">
        <f t="shared" si="901"/>
        <v>-</v>
      </c>
      <c r="J1472" s="1" t="str">
        <f t="shared" si="901"/>
        <v>-</v>
      </c>
      <c r="K1472" s="1" t="str">
        <f t="shared" si="901"/>
        <v>-</v>
      </c>
    </row>
    <row r="1473" spans="2:11" x14ac:dyDescent="0.25">
      <c r="B1473" s="5" t="str">
        <f t="shared" si="888"/>
        <v>SPS4</v>
      </c>
      <c r="C1473" s="5" t="str">
        <f t="shared" si="885"/>
        <v>CH</v>
      </c>
      <c r="D1473" t="s">
        <v>1464</v>
      </c>
      <c r="E1473" t="s">
        <v>1230</v>
      </c>
      <c r="F1473" s="1">
        <f t="shared" ref="F1473:K1473" si="902">IFERROR(F1449/F1420,"-")</f>
        <v>8.7465847585616721E-2</v>
      </c>
      <c r="G1473" s="1">
        <f t="shared" si="902"/>
        <v>8.7816256443844401E-2</v>
      </c>
      <c r="H1473" s="1">
        <f t="shared" si="902"/>
        <v>8.7757741439420486E-2</v>
      </c>
      <c r="I1473" s="1" t="str">
        <f t="shared" si="902"/>
        <v>-</v>
      </c>
      <c r="J1473" s="1">
        <f t="shared" si="902"/>
        <v>0.11343753121307441</v>
      </c>
      <c r="K1473" s="1" t="str">
        <f t="shared" si="902"/>
        <v>-</v>
      </c>
    </row>
    <row r="1474" spans="2:11" x14ac:dyDescent="0.25">
      <c r="B1474" s="5" t="str">
        <f t="shared" si="888"/>
        <v>SPS4</v>
      </c>
      <c r="C1474" s="5" t="str">
        <f t="shared" si="885"/>
        <v>CH</v>
      </c>
      <c r="D1474" t="s">
        <v>1465</v>
      </c>
      <c r="E1474" t="s">
        <v>1230</v>
      </c>
      <c r="F1474" s="1">
        <f t="shared" ref="F1474:K1474" si="903">IFERROR(F1450/F1421,"-")</f>
        <v>5.7949527986548677E-2</v>
      </c>
      <c r="G1474" s="1">
        <f t="shared" si="903"/>
        <v>5.818135512334964E-2</v>
      </c>
      <c r="H1474" s="1">
        <f t="shared" si="903"/>
        <v>5.8143079065262955E-2</v>
      </c>
      <c r="I1474" s="1" t="str">
        <f t="shared" si="903"/>
        <v>-</v>
      </c>
      <c r="J1474" s="1">
        <f t="shared" si="903"/>
        <v>7.4462228771208908E-2</v>
      </c>
      <c r="K1474" s="1">
        <f t="shared" si="903"/>
        <v>8.2165685385869464E-2</v>
      </c>
    </row>
    <row r="1475" spans="2:11" x14ac:dyDescent="0.25">
      <c r="B1475" s="5" t="str">
        <f t="shared" si="888"/>
        <v>SPS4</v>
      </c>
      <c r="C1475" s="5" t="str">
        <f t="shared" si="885"/>
        <v>CH</v>
      </c>
      <c r="D1475" t="s">
        <v>1466</v>
      </c>
      <c r="E1475" t="s">
        <v>1230</v>
      </c>
      <c r="F1475" s="1">
        <f t="shared" ref="F1475:K1475" si="904">IFERROR(F1451/F1422,"-")</f>
        <v>3.8646481387947483E-2</v>
      </c>
      <c r="G1475" s="1" t="str">
        <f t="shared" si="904"/>
        <v>-</v>
      </c>
      <c r="H1475" s="1">
        <f t="shared" si="904"/>
        <v>3.9539908208450686E-2</v>
      </c>
      <c r="I1475" s="1" t="str">
        <f t="shared" si="904"/>
        <v>-</v>
      </c>
      <c r="J1475" s="1" t="str">
        <f t="shared" si="904"/>
        <v>-</v>
      </c>
      <c r="K1475" s="1" t="str">
        <f t="shared" si="904"/>
        <v>-</v>
      </c>
    </row>
    <row r="1476" spans="2:11" x14ac:dyDescent="0.25">
      <c r="B1476" s="5" t="str">
        <f t="shared" si="888"/>
        <v>SPS4</v>
      </c>
      <c r="C1476" s="5" t="str">
        <f t="shared" si="885"/>
        <v>CH</v>
      </c>
      <c r="D1476" t="s">
        <v>2121</v>
      </c>
      <c r="E1476" t="s">
        <v>1230</v>
      </c>
      <c r="F1476" s="1">
        <f>IFERROR(F1452/F1428,"-")</f>
        <v>9.9502495941956575</v>
      </c>
      <c r="G1476" s="1">
        <f t="shared" ref="G1476:K1476" si="905">IFERROR(G1452/G1428,"-")</f>
        <v>7.9767976048237488</v>
      </c>
      <c r="H1476" s="1">
        <f t="shared" si="905"/>
        <v>5.0166196207658746</v>
      </c>
      <c r="I1476" s="1" t="str">
        <f t="shared" si="905"/>
        <v>-</v>
      </c>
      <c r="J1476" s="1" t="str">
        <f t="shared" si="905"/>
        <v>-</v>
      </c>
      <c r="K1476" s="1" t="str">
        <f t="shared" si="905"/>
        <v>-</v>
      </c>
    </row>
    <row r="1477" spans="2:11" x14ac:dyDescent="0.25">
      <c r="B1477" s="5" t="str">
        <f t="shared" si="888"/>
        <v>SPS4</v>
      </c>
      <c r="C1477" s="5" t="str">
        <f t="shared" si="885"/>
        <v>CH</v>
      </c>
      <c r="D1477" t="s">
        <v>1467</v>
      </c>
      <c r="E1477" t="s">
        <v>1230</v>
      </c>
      <c r="F1477" s="1" t="str">
        <f t="shared" ref="F1477:K1477" si="906">IFERROR(F1453/F1429,"-")</f>
        <v>-</v>
      </c>
      <c r="G1477" s="1">
        <f t="shared" si="906"/>
        <v>0.12023751974847222</v>
      </c>
      <c r="H1477" s="1">
        <f t="shared" si="906"/>
        <v>0.12569448618136878</v>
      </c>
      <c r="I1477" s="1" t="str">
        <f t="shared" si="906"/>
        <v>-</v>
      </c>
      <c r="J1477" s="1" t="str">
        <f t="shared" si="906"/>
        <v>-</v>
      </c>
      <c r="K1477" s="1" t="str">
        <f t="shared" si="906"/>
        <v>-</v>
      </c>
    </row>
    <row r="1478" spans="2:11" x14ac:dyDescent="0.25">
      <c r="B1478" s="5" t="str">
        <f t="shared" si="888"/>
        <v>SPS4</v>
      </c>
      <c r="C1478" s="5" t="str">
        <f t="shared" si="885"/>
        <v>CH</v>
      </c>
      <c r="D1478" t="s">
        <v>1468</v>
      </c>
      <c r="E1478" t="s">
        <v>1230</v>
      </c>
      <c r="F1478" s="1" t="str">
        <f t="shared" ref="F1478:K1478" si="907">IFERROR(F1454/F1430,"-")</f>
        <v>-</v>
      </c>
      <c r="G1478" s="1">
        <f t="shared" si="907"/>
        <v>8.4998076233608832E-2</v>
      </c>
      <c r="H1478" s="1">
        <f t="shared" si="907"/>
        <v>8.8292110140606783E-2</v>
      </c>
      <c r="I1478" s="1" t="str">
        <f t="shared" si="907"/>
        <v>-</v>
      </c>
      <c r="J1478" s="1" t="str">
        <f t="shared" si="907"/>
        <v>-</v>
      </c>
      <c r="K1478" s="1" t="str">
        <f t="shared" si="907"/>
        <v>-</v>
      </c>
    </row>
    <row r="1479" spans="2:11" x14ac:dyDescent="0.25">
      <c r="B1479" s="5" t="str">
        <f t="shared" si="888"/>
        <v>SPS4</v>
      </c>
      <c r="C1479" s="5" t="str">
        <f t="shared" si="885"/>
        <v>CH</v>
      </c>
      <c r="D1479" t="s">
        <v>1469</v>
      </c>
      <c r="E1479" t="s">
        <v>1230</v>
      </c>
      <c r="F1479" s="1" t="str">
        <f t="shared" ref="F1479:K1479" si="908">IFERROR(F1455/F1431,"-")</f>
        <v>-</v>
      </c>
      <c r="G1479" s="1">
        <f t="shared" si="908"/>
        <v>5.6422133461237131E-2</v>
      </c>
      <c r="H1479" s="1">
        <f t="shared" si="908"/>
        <v>5.8496152394343401E-2</v>
      </c>
      <c r="I1479" s="1" t="str">
        <f t="shared" si="908"/>
        <v>-</v>
      </c>
      <c r="J1479" s="1" t="str">
        <f t="shared" si="908"/>
        <v>-</v>
      </c>
      <c r="K1479" s="1" t="str">
        <f t="shared" si="908"/>
        <v>-</v>
      </c>
    </row>
    <row r="1480" spans="2:11" x14ac:dyDescent="0.25">
      <c r="B1480" s="5" t="str">
        <f t="shared" si="888"/>
        <v>SPS4</v>
      </c>
      <c r="C1480" s="5" t="str">
        <f t="shared" si="885"/>
        <v>CH</v>
      </c>
      <c r="D1480" t="s">
        <v>1470</v>
      </c>
      <c r="E1480" t="s">
        <v>1230</v>
      </c>
      <c r="F1480" s="1" t="str">
        <f t="shared" ref="F1480:K1480" si="909">IFERROR(F1456/F1432,"-")</f>
        <v>-</v>
      </c>
      <c r="G1480" s="1" t="str">
        <f t="shared" si="909"/>
        <v>-</v>
      </c>
      <c r="H1480" s="1">
        <f t="shared" si="909"/>
        <v>3.9673729016116606E-2</v>
      </c>
      <c r="I1480" s="1" t="str">
        <f t="shared" si="909"/>
        <v>-</v>
      </c>
      <c r="J1480" s="1" t="str">
        <f t="shared" si="909"/>
        <v>-</v>
      </c>
      <c r="K1480" s="1" t="str">
        <f t="shared" si="909"/>
        <v>-</v>
      </c>
    </row>
    <row r="1481" spans="2:11" x14ac:dyDescent="0.25">
      <c r="B1481" s="9" t="str">
        <f t="shared" si="888"/>
        <v>SPS4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10">G1482</f>
        <v>0.30572256601970044</v>
      </c>
      <c r="H1481" s="3">
        <f t="shared" si="910"/>
        <v>0.35149986092475399</v>
      </c>
      <c r="I1481" s="3">
        <f t="shared" si="910"/>
        <v>0.45078090930791764</v>
      </c>
      <c r="J1481" s="3">
        <f t="shared" si="910"/>
        <v>0.47237229295618205</v>
      </c>
      <c r="K1481" s="3">
        <f t="shared" si="910"/>
        <v>0.48809144422268164</v>
      </c>
    </row>
    <row r="1482" spans="2:11" x14ac:dyDescent="0.25">
      <c r="B1482" s="5" t="str">
        <f t="shared" si="888"/>
        <v>SPS4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11">G1483</f>
        <v>0.30572256601970044</v>
      </c>
      <c r="H1482" s="1">
        <f t="shared" si="911"/>
        <v>0.35149986092475399</v>
      </c>
      <c r="I1482" s="1">
        <f t="shared" si="911"/>
        <v>0.45078090930791764</v>
      </c>
      <c r="J1482" s="1">
        <f t="shared" si="911"/>
        <v>0.47237229295618205</v>
      </c>
      <c r="K1482" s="1">
        <f t="shared" si="911"/>
        <v>0.48809144422268164</v>
      </c>
    </row>
    <row r="1483" spans="2:11" x14ac:dyDescent="0.25">
      <c r="B1483" s="5" t="str">
        <f t="shared" si="888"/>
        <v>SPS4</v>
      </c>
      <c r="C1483" s="5" t="str">
        <f t="shared" ref="C1483" si="912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si="888"/>
        <v>SPS4</v>
      </c>
      <c r="C1484" s="9" t="str">
        <f t="shared" ref="B1484:C1487" si="913">C1483</f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14">G1485</f>
        <v>2.7694845980498664E-2</v>
      </c>
      <c r="H1484" s="3">
        <f t="shared" si="914"/>
        <v>2.8832315767707572E-2</v>
      </c>
      <c r="I1484" s="3">
        <f t="shared" si="914"/>
        <v>3.0543631535415186E-2</v>
      </c>
      <c r="J1484" s="3">
        <f t="shared" si="914"/>
        <v>3.2006602244411902E-2</v>
      </c>
      <c r="K1484" s="3">
        <f t="shared" si="914"/>
        <v>3.3071687199031086E-2</v>
      </c>
    </row>
    <row r="1485" spans="2:11" x14ac:dyDescent="0.25">
      <c r="B1485" s="5" t="str">
        <f t="shared" si="888"/>
        <v>SPS4</v>
      </c>
      <c r="C1485" s="5" t="str">
        <f t="shared" si="913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888"/>
        <v>SPS4</v>
      </c>
      <c r="C1486" s="9" t="str">
        <f t="shared" si="913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888"/>
        <v>SPS4</v>
      </c>
      <c r="C1487" s="5" t="str">
        <f t="shared" si="913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15">G1485/G1483</f>
        <v>9.058816410272455E-2</v>
      </c>
      <c r="H1487" s="1">
        <f t="shared" si="915"/>
        <v>8.2026535350122776E-2</v>
      </c>
      <c r="I1487" s="1">
        <f t="shared" si="915"/>
        <v>6.7757154095786171E-2</v>
      </c>
      <c r="J1487" s="1">
        <f t="shared" si="915"/>
        <v>6.7757154095786226E-2</v>
      </c>
      <c r="K1487" s="1">
        <f t="shared" si="915"/>
        <v>6.7757154095786226E-2</v>
      </c>
    </row>
    <row r="1488" spans="2:11" x14ac:dyDescent="0.25">
      <c r="B1488" s="9" t="str">
        <f t="shared" si="888"/>
        <v>SPS4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16">G1489</f>
        <v>0.6125507323013607</v>
      </c>
      <c r="H1488" s="3">
        <f t="shared" ref="H1488:H1489" si="917">H1489</f>
        <v>0.65830556959273911</v>
      </c>
      <c r="I1488" s="3">
        <f t="shared" ref="I1488:I1489" si="918">I1489</f>
        <v>0.7379148962536346</v>
      </c>
      <c r="J1488" s="3">
        <f t="shared" ref="J1488:J1489" si="919">J1489</f>
        <v>0.77325934733858914</v>
      </c>
      <c r="K1488" s="3">
        <f t="shared" ref="K1488:K1489" si="920">K1489</f>
        <v>0.79899112903654423</v>
      </c>
    </row>
    <row r="1489" spans="2:11" x14ac:dyDescent="0.25">
      <c r="B1489" s="5" t="str">
        <f t="shared" si="888"/>
        <v>SPS4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16"/>
        <v>0.6125507323013607</v>
      </c>
      <c r="H1489" s="1">
        <f t="shared" si="917"/>
        <v>0.65830556959273911</v>
      </c>
      <c r="I1489" s="1">
        <f t="shared" si="918"/>
        <v>0.7379148962536346</v>
      </c>
      <c r="J1489" s="1">
        <f t="shared" si="919"/>
        <v>0.77325934733858914</v>
      </c>
      <c r="K1489" s="1">
        <f t="shared" si="920"/>
        <v>0.79899112903654423</v>
      </c>
    </row>
    <row r="1490" spans="2:11" x14ac:dyDescent="0.25">
      <c r="B1490" s="5" t="str">
        <f t="shared" si="888"/>
        <v>SPS4</v>
      </c>
      <c r="C1490" s="5" t="str">
        <f t="shared" ref="C1490" si="921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si="888"/>
        <v>SPS4</v>
      </c>
      <c r="C1491" s="9" t="str">
        <f t="shared" ref="B1491:C1495" si="922">C1490</f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23">G1492</f>
        <v>3.4100101820365179E-2</v>
      </c>
      <c r="H1491" s="3">
        <f t="shared" ref="H1491" si="924">H1492</f>
        <v>3.5370833501607003E-2</v>
      </c>
      <c r="I1491" s="3">
        <f t="shared" ref="I1491" si="925">I1492</f>
        <v>3.726366700321395E-2</v>
      </c>
      <c r="J1491" s="3">
        <f t="shared" ref="J1491" si="926">J1492</f>
        <v>3.9048512196511807E-2</v>
      </c>
      <c r="K1491" s="3">
        <f t="shared" ref="K1491" si="927">K1492</f>
        <v>4.0347931071859175E-2</v>
      </c>
    </row>
    <row r="1492" spans="2:11" x14ac:dyDescent="0.25">
      <c r="B1492" s="5" t="str">
        <f t="shared" si="888"/>
        <v>SPS4</v>
      </c>
      <c r="C1492" s="5" t="str">
        <f t="shared" si="922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888"/>
        <v>SPS4</v>
      </c>
      <c r="C1493" s="9" t="str">
        <f t="shared" si="922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888"/>
        <v>SPS4</v>
      </c>
      <c r="C1494" s="5" t="str">
        <f t="shared" si="922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28">G1492/G1490</f>
        <v>5.5669024657354786E-2</v>
      </c>
      <c r="H1494" s="1">
        <f t="shared" si="928"/>
        <v>5.3730114304652132E-2</v>
      </c>
      <c r="I1494" s="1">
        <f t="shared" si="928"/>
        <v>5.049859705014785E-2</v>
      </c>
      <c r="J1494" s="1">
        <f t="shared" si="928"/>
        <v>5.0498597050147948E-2</v>
      </c>
      <c r="K1494" s="1">
        <f t="shared" si="928"/>
        <v>5.0498597050147906E-2</v>
      </c>
    </row>
    <row r="1495" spans="2:11" x14ac:dyDescent="0.25">
      <c r="B1495" s="9" t="str">
        <f t="shared" si="888"/>
        <v>SPS4</v>
      </c>
      <c r="C1495" s="9" t="str">
        <f t="shared" si="922"/>
        <v>CH</v>
      </c>
      <c r="D1495" s="2" t="s">
        <v>1488</v>
      </c>
      <c r="E1495" s="2" t="s">
        <v>8</v>
      </c>
      <c r="F1495" s="3">
        <f>SUM(F1496,F1501,F1506)</f>
        <v>2.4010518748865168</v>
      </c>
      <c r="G1495" s="3">
        <f t="shared" ref="G1495:K1495" si="929">SUM(G1496,G1501,G1506)</f>
        <v>1.9393982343451757</v>
      </c>
      <c r="H1495" s="3">
        <f t="shared" si="929"/>
        <v>1.6537615514050346</v>
      </c>
      <c r="I1495" s="3">
        <f t="shared" si="929"/>
        <v>1.3228340108429442</v>
      </c>
      <c r="J1495" s="3">
        <f t="shared" si="929"/>
        <v>0.98261940666036929</v>
      </c>
      <c r="K1495" s="3">
        <f t="shared" si="929"/>
        <v>0.889008815552492</v>
      </c>
    </row>
    <row r="1496" spans="2:11" x14ac:dyDescent="0.25">
      <c r="B1496" s="5" t="str">
        <f t="shared" si="888"/>
        <v>SPS4</v>
      </c>
      <c r="C1496" t="str">
        <f t="shared" ref="C1496:C1500" si="930">C1495</f>
        <v>CH</v>
      </c>
      <c r="D1496" t="s">
        <v>1489</v>
      </c>
      <c r="E1496" t="str">
        <f>E1495</f>
        <v>PJ/yr.</v>
      </c>
      <c r="F1496" s="1">
        <f>SUM(F1497:F1500)</f>
        <v>2.0323152388481355E-3</v>
      </c>
      <c r="G1496" s="1">
        <f t="shared" ref="G1496:K1496" si="931">SUM(G1497:G1500)</f>
        <v>3.1639625001747061E-3</v>
      </c>
      <c r="H1496" s="1">
        <f t="shared" si="931"/>
        <v>3.2007307322501817E-3</v>
      </c>
      <c r="I1496" s="1">
        <f t="shared" si="931"/>
        <v>2.4104921414186812E-3</v>
      </c>
      <c r="J1496" s="1">
        <f t="shared" si="931"/>
        <v>4.2240331968318256E-4</v>
      </c>
      <c r="K1496" s="1">
        <f t="shared" si="931"/>
        <v>2.373249779359279E-4</v>
      </c>
    </row>
    <row r="1497" spans="2:11" x14ac:dyDescent="0.25">
      <c r="B1497" t="str">
        <f t="shared" si="888"/>
        <v>SPS4</v>
      </c>
      <c r="C1497" t="str">
        <f t="shared" si="930"/>
        <v>CH</v>
      </c>
      <c r="D1497" t="s">
        <v>1490</v>
      </c>
      <c r="E1497" t="str">
        <f t="shared" ref="E1497:E1500" si="932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1.5732247835991582E-3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2.529002291186102E-3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2.5418141597803325E-3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1.7960420753569263E-3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1.4352022397136555E-4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8.7783558994856679E-5</v>
      </c>
    </row>
    <row r="1498" spans="2:11" x14ac:dyDescent="0.25">
      <c r="B1498" t="str">
        <f t="shared" si="888"/>
        <v>SPS4</v>
      </c>
      <c r="C1498" t="str">
        <f t="shared" si="930"/>
        <v>CH</v>
      </c>
      <c r="D1498" t="s">
        <v>1491</v>
      </c>
      <c r="E1498" t="str">
        <f t="shared" si="932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3.5715851235991063E-4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4.4418606190866814E-4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4.4831066588710467E-4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3.8447802274622033E-4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6.929139353624081E-5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4.4909387117103747E-5</v>
      </c>
    </row>
    <row r="1499" spans="2:11" x14ac:dyDescent="0.25">
      <c r="B1499" t="str">
        <f t="shared" si="888"/>
        <v>SPS4</v>
      </c>
      <c r="C1499" t="str">
        <f t="shared" si="930"/>
        <v>CH</v>
      </c>
      <c r="D1499" t="s">
        <v>1493</v>
      </c>
      <c r="E1499" t="str">
        <f t="shared" si="932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7.6681410180485355E-5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1.351021529759113E-4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1.4192918693205442E-4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1.511834169136594E-4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9.8834809697683192E-5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3.8421257365856942E-5</v>
      </c>
    </row>
    <row r="1500" spans="2:11" x14ac:dyDescent="0.25">
      <c r="B1500" t="str">
        <f t="shared" si="888"/>
        <v>SPS4</v>
      </c>
      <c r="C1500" t="str">
        <f t="shared" si="930"/>
        <v>CH</v>
      </c>
      <c r="D1500" t="s">
        <v>1492</v>
      </c>
      <c r="E1500" t="str">
        <f t="shared" si="932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2.5250532708581247E-5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5.5671994104024586E-5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6.867671965069043E-5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7.8788626401875132E-5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1.1075689247789303E-4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6.6210774458110521E-5</v>
      </c>
    </row>
    <row r="1501" spans="2:11" x14ac:dyDescent="0.25">
      <c r="B1501" s="5" t="str">
        <f t="shared" si="888"/>
        <v>SPS4</v>
      </c>
      <c r="C1501" t="str">
        <f t="shared" ref="C1501:C1505" si="933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34">SUM(G1502:G1505)</f>
        <v>0</v>
      </c>
      <c r="H1501" s="1">
        <f t="shared" si="934"/>
        <v>0</v>
      </c>
      <c r="I1501" s="1">
        <f t="shared" si="934"/>
        <v>4.5012019789442622E-5</v>
      </c>
      <c r="J1501" s="1">
        <f t="shared" si="934"/>
        <v>1.4524885083029088E-4</v>
      </c>
      <c r="K1501" s="1">
        <f t="shared" si="934"/>
        <v>1.1735279552432121E-4</v>
      </c>
    </row>
    <row r="1502" spans="2:11" x14ac:dyDescent="0.25">
      <c r="B1502" t="str">
        <f t="shared" si="888"/>
        <v>SPS4</v>
      </c>
      <c r="C1502" t="str">
        <f t="shared" si="933"/>
        <v>CH</v>
      </c>
      <c r="D1502" t="s">
        <v>1495</v>
      </c>
      <c r="E1502" t="str">
        <f t="shared" ref="E1502:E1505" si="935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1.44504278192764E-5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4.8403088472650915E-5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3.133488007322945E-5</v>
      </c>
    </row>
    <row r="1503" spans="2:11" x14ac:dyDescent="0.25">
      <c r="B1503" t="str">
        <f t="shared" si="888"/>
        <v>SPS4</v>
      </c>
      <c r="C1503" t="str">
        <f t="shared" si="933"/>
        <v>CH</v>
      </c>
      <c r="D1503" t="s">
        <v>1496</v>
      </c>
      <c r="E1503" t="str">
        <f t="shared" si="935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1.2992674587010589E-5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4.1856713700509553E-5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2.8873307268600866E-5</v>
      </c>
    </row>
    <row r="1504" spans="2:11" x14ac:dyDescent="0.25">
      <c r="B1504" t="str">
        <f t="shared" si="888"/>
        <v>SPS4</v>
      </c>
      <c r="C1504" t="str">
        <f t="shared" si="933"/>
        <v>CH</v>
      </c>
      <c r="D1504" t="s">
        <v>1497</v>
      </c>
      <c r="E1504" t="str">
        <f t="shared" si="935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1.1432951259614009E-5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3.4862796957773767E-5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3.3349714377065385E-5</v>
      </c>
    </row>
    <row r="1505" spans="2:11" x14ac:dyDescent="0.25">
      <c r="B1505" t="str">
        <f t="shared" si="888"/>
        <v>SPS4</v>
      </c>
      <c r="C1505" t="str">
        <f t="shared" si="933"/>
        <v>CH</v>
      </c>
      <c r="D1505" t="s">
        <v>1498</v>
      </c>
      <c r="E1505" t="str">
        <f t="shared" si="935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6.1359661235416219E-6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2.0126251699356646E-5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2.3794893805425502E-5</v>
      </c>
    </row>
    <row r="1506" spans="2:11" x14ac:dyDescent="0.25">
      <c r="B1506" s="5" t="str">
        <f t="shared" si="888"/>
        <v>SPS4</v>
      </c>
      <c r="C1506" t="str">
        <f t="shared" ref="C1506:C1516" si="936">C1505</f>
        <v>CH</v>
      </c>
      <c r="D1506" t="s">
        <v>1499</v>
      </c>
      <c r="E1506" t="str">
        <f>E1505</f>
        <v>PJ/yr.</v>
      </c>
      <c r="F1506" s="1">
        <f>SUM(F1511:F1515)</f>
        <v>2.3990195596476687</v>
      </c>
      <c r="G1506" s="1">
        <f t="shared" ref="G1506:K1506" si="937">SUM(G1511:G1515)</f>
        <v>1.936234271845001</v>
      </c>
      <c r="H1506" s="1">
        <f t="shared" si="937"/>
        <v>1.6505608206727844</v>
      </c>
      <c r="I1506" s="1">
        <f t="shared" si="937"/>
        <v>1.320378506681736</v>
      </c>
      <c r="J1506" s="1">
        <f t="shared" si="937"/>
        <v>0.98205175448985582</v>
      </c>
      <c r="K1506" s="1">
        <f t="shared" si="937"/>
        <v>0.88865413777903179</v>
      </c>
    </row>
    <row r="1507" spans="2:11" x14ac:dyDescent="0.25">
      <c r="B1507" s="5" t="str">
        <f t="shared" si="888"/>
        <v>SPS4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2.267696346973672</v>
      </c>
      <c r="G1507" s="1">
        <f t="shared" ref="G1507:K1507" si="938">G1506-G1508</f>
        <v>1.8302436070292951</v>
      </c>
      <c r="H1507" s="1">
        <f t="shared" si="938"/>
        <v>1.5602024896017026</v>
      </c>
      <c r="I1507" s="1">
        <f t="shared" si="938"/>
        <v>1.2480992307858021</v>
      </c>
      <c r="J1507" s="1">
        <f t="shared" si="938"/>
        <v>0.92828995980301365</v>
      </c>
      <c r="K1507" s="1">
        <f t="shared" si="938"/>
        <v>0.84000363090266195</v>
      </c>
    </row>
    <row r="1508" spans="2:11" x14ac:dyDescent="0.25">
      <c r="B1508" s="5" t="str">
        <f t="shared" si="888"/>
        <v>SPS4</v>
      </c>
      <c r="C1508" s="5" t="str">
        <f t="shared" ref="C1508:C1510" si="939">C1507</f>
        <v>CH</v>
      </c>
      <c r="D1508" t="s">
        <v>1501</v>
      </c>
      <c r="E1508" t="str">
        <f>E1507</f>
        <v>PJ/yr.</v>
      </c>
      <c r="F1508" s="1">
        <f>SUM(F1509:F1510)</f>
        <v>0.13132321267399688</v>
      </c>
      <c r="G1508" s="1">
        <f t="shared" ref="G1508" si="940">SUM(G1509:G1510)</f>
        <v>0.10599066481570575</v>
      </c>
      <c r="H1508" s="1">
        <f t="shared" ref="H1508" si="941">SUM(H1509:H1510)</f>
        <v>9.035833107108171E-2</v>
      </c>
      <c r="I1508" s="1">
        <f t="shared" ref="I1508" si="942">SUM(I1509:I1510)</f>
        <v>7.2279275895933887E-2</v>
      </c>
      <c r="J1508" s="1">
        <f t="shared" ref="J1508" si="943">SUM(J1509:J1510)</f>
        <v>5.3761794686842154E-2</v>
      </c>
      <c r="K1508" s="1">
        <f t="shared" ref="K1508" si="944">SUM(K1509:K1510)</f>
        <v>4.8650506876369876E-2</v>
      </c>
    </row>
    <row r="1509" spans="2:11" x14ac:dyDescent="0.25">
      <c r="B1509" s="5" t="str">
        <f t="shared" si="888"/>
        <v>SPS4</v>
      </c>
      <c r="C1509" s="5" t="str">
        <f t="shared" si="93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0.13132321267399688</v>
      </c>
      <c r="G1509" s="1">
        <f>[1]Transport!C$25/SUM([1]Transport!C$21,[1]Transport!C$25)*G1506*(G$34+G$598)/(G$34+G$598+G$37)</f>
        <v>0.10599066481570575</v>
      </c>
      <c r="H1509" s="1">
        <f>[1]Transport!D$25/SUM([1]Transport!D$21,[1]Transport!D$25)*H1506*(H$34+H$598)/(H$34+H$598+H$37)</f>
        <v>9.035833107108171E-2</v>
      </c>
      <c r="I1509" s="1">
        <f>[1]Transport!E$25/SUM([1]Transport!E$21,[1]Transport!E$25)*I1506*(I$34+I$598)/(I$34+I$598+I$37)</f>
        <v>7.2279275895933887E-2</v>
      </c>
      <c r="J1509" s="1">
        <f>[1]Transport!F$25/SUM([1]Transport!F$21,[1]Transport!F$25)*J1506*(J$34+J$598)/(J$34+J$598+J$37)</f>
        <v>5.3761794686842154E-2</v>
      </c>
      <c r="K1509" s="1">
        <f>[1]Transport!G$25/SUM([1]Transport!G$21,[1]Transport!G$25)*K1506*(K$34+K$598)/(K$34+K$598+K$37)</f>
        <v>4.8650506876369876E-2</v>
      </c>
    </row>
    <row r="1510" spans="2:11" x14ac:dyDescent="0.25">
      <c r="B1510" s="5" t="str">
        <f t="shared" si="888"/>
        <v>SPS4</v>
      </c>
      <c r="C1510" s="5" t="str">
        <f t="shared" si="93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</v>
      </c>
      <c r="K1510" s="1">
        <f>(K$37+K$717)/([1]Transport!G$21+[1]Transport!G$25)*K1506</f>
        <v>0</v>
      </c>
    </row>
    <row r="1511" spans="2:11" x14ac:dyDescent="0.25">
      <c r="B1511" t="str">
        <f t="shared" si="888"/>
        <v>SPS4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2.0904828332056269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1.4133453592394714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0.95181705569705188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0.45307040814416871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 t="shared" si="888"/>
        <v>SPS4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4.4311894255949814E-2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0.30719681926382947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0.48379638455442536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0.71287750272157002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0.93608301347442746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0.88278348363556924</v>
      </c>
    </row>
    <row r="1513" spans="2:11" x14ac:dyDescent="0.25">
      <c r="B1513" t="str">
        <f t="shared" si="888"/>
        <v>SPS4</v>
      </c>
      <c r="C1513" t="str">
        <f t="shared" si="936"/>
        <v>CH</v>
      </c>
      <c r="D1513" t="s">
        <v>1580</v>
      </c>
      <c r="E1513" t="str">
        <f t="shared" ref="E1513:E1515" si="945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0.11242023765730789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0.16289150818018575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0.16113040121606004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0.10132969693637649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2.7587693277195428E-4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1.6126765706730471E-4</v>
      </c>
    </row>
    <row r="1514" spans="2:11" x14ac:dyDescent="0.25">
      <c r="B1514" t="str">
        <f t="shared" si="888"/>
        <v>SPS4</v>
      </c>
      <c r="C1514" t="str">
        <f t="shared" si="936"/>
        <v>CH</v>
      </c>
      <c r="D1514" t="s">
        <v>1581</v>
      </c>
      <c r="E1514" t="str">
        <f t="shared" si="945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0.10830589796824498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1.3525784651895058E-2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1.3937493038485767E-2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1.3658372101952254E-2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6.4466512086088406E-3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1.5354097430151709E-4</v>
      </c>
    </row>
    <row r="1515" spans="2:11" x14ac:dyDescent="0.25">
      <c r="B1515" t="str">
        <f t="shared" si="888"/>
        <v>SPS4</v>
      </c>
      <c r="C1515" t="str">
        <f t="shared" si="936"/>
        <v>CH</v>
      </c>
      <c r="D1515" t="s">
        <v>1582</v>
      </c>
      <c r="E1515" t="str">
        <f t="shared" si="945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4.3498696560539118E-2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3.927480050961938E-2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3.9879486166761263E-2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3.9442526777668491E-2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3.9246212874047483E-2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5.5558455120937765E-3</v>
      </c>
    </row>
    <row r="1516" spans="2:11" x14ac:dyDescent="0.25">
      <c r="B1516" s="9" t="str">
        <f t="shared" si="888"/>
        <v>SPS4</v>
      </c>
      <c r="C1516" s="9" t="str">
        <f t="shared" si="936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 t="shared" si="888"/>
        <v>SPS4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1.7461107047316012E-2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2.8108771934664656E-2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2.82533921474056E-2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1.9978381465923012E-2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1.6574714936430251E-3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1.0339276844338746E-3</v>
      </c>
    </row>
    <row r="1518" spans="2:11" x14ac:dyDescent="0.25">
      <c r="B1518" t="str">
        <f t="shared" si="888"/>
        <v>SPS4</v>
      </c>
      <c r="C1518" t="str">
        <f t="shared" ref="C1518:C1543" si="946">C1517</f>
        <v>CH</v>
      </c>
      <c r="D1518" t="s">
        <v>1506</v>
      </c>
      <c r="E1518" t="str">
        <f t="shared" ref="E1518:E1529" si="947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2.2445713723558344E-3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2.793072877435604E-3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2.8201142771364825E-3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2.4215311104842209E-3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4.5304558592744633E-4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2.9787942780013399E-4</v>
      </c>
    </row>
    <row r="1519" spans="2:11" x14ac:dyDescent="0.25">
      <c r="B1519" t="str">
        <f t="shared" si="888"/>
        <v>SPS4</v>
      </c>
      <c r="C1519" t="str">
        <f t="shared" si="946"/>
        <v>CH</v>
      </c>
      <c r="D1519" t="s">
        <v>1507</v>
      </c>
      <c r="E1519" t="str">
        <f t="shared" si="947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3.1363795405707501E-4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5.5345346544844333E-4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5.821344286756257E-4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6.2152152731227055E-4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4.1267200517147072E-4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1.6646284988594117E-4</v>
      </c>
    </row>
    <row r="1520" spans="2:11" x14ac:dyDescent="0.25">
      <c r="B1520" t="str">
        <f t="shared" si="888"/>
        <v>SPS4</v>
      </c>
      <c r="C1520" t="str">
        <f t="shared" si="946"/>
        <v>CH</v>
      </c>
      <c r="D1520" t="s">
        <v>1508</v>
      </c>
      <c r="E1520" t="str">
        <f t="shared" si="947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9.5069606121040288E-5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2.1020032737538655E-4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2.6015941269157806E-4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2.9977572496075382E-4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4.2723397004634382E-4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2.6234474651096298E-4</v>
      </c>
    </row>
    <row r="1521" spans="2:11" x14ac:dyDescent="0.25">
      <c r="B1521" t="str">
        <f t="shared" si="888"/>
        <v>SPS4</v>
      </c>
      <c r="C1521" t="str">
        <f t="shared" si="946"/>
        <v>CH</v>
      </c>
      <c r="D1521" t="s">
        <v>1509</v>
      </c>
      <c r="E1521" t="str">
        <f t="shared" si="947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6.7037239060440377E-5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2.2956099081161403E-4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1.5217562343291472E-4</v>
      </c>
    </row>
    <row r="1522" spans="2:11" x14ac:dyDescent="0.25">
      <c r="B1522" t="str">
        <f t="shared" si="888"/>
        <v>SPS4</v>
      </c>
      <c r="C1522" t="str">
        <f t="shared" si="946"/>
        <v>CH</v>
      </c>
      <c r="D1522" t="s">
        <v>1510</v>
      </c>
      <c r="E1522" t="str">
        <f t="shared" si="947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3.5091743951370451E-5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1.1511218746890474E-4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8.1023313782129444E-5</v>
      </c>
    </row>
    <row r="1523" spans="2:11" x14ac:dyDescent="0.25">
      <c r="B1523" t="str">
        <f t="shared" si="888"/>
        <v>SPS4</v>
      </c>
      <c r="C1523" t="str">
        <f t="shared" si="946"/>
        <v>CH</v>
      </c>
      <c r="D1523" t="s">
        <v>1511</v>
      </c>
      <c r="E1523" t="str">
        <f t="shared" si="947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2.0129408887940606E-5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6.2357989562138286E-5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6.0734793732316721E-5</v>
      </c>
    </row>
    <row r="1524" spans="2:11" x14ac:dyDescent="0.25">
      <c r="B1524" t="str">
        <f t="shared" ref="B1524:B1587" si="948">B1523</f>
        <v>SPS4</v>
      </c>
      <c r="C1524" t="str">
        <f t="shared" si="946"/>
        <v>CH</v>
      </c>
      <c r="D1524" t="s">
        <v>1512</v>
      </c>
      <c r="E1524" t="str">
        <f t="shared" si="947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9.5846317553299225E-6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3.2033125898376742E-5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3.8447322547409395E-5</v>
      </c>
    </row>
    <row r="1525" spans="2:11" x14ac:dyDescent="0.25">
      <c r="B1525" t="str">
        <f t="shared" si="948"/>
        <v>SPS4</v>
      </c>
      <c r="C1525" t="str">
        <f t="shared" si="946"/>
        <v>CH</v>
      </c>
      <c r="D1525" t="s">
        <v>1513</v>
      </c>
      <c r="E1525" t="str">
        <f t="shared" si="947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1.6121074142925549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1.1126396402747432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0.77225502336360896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0.38580360122292767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48"/>
        <v>SPS4</v>
      </c>
      <c r="C1526" t="str">
        <f t="shared" si="946"/>
        <v>CH</v>
      </c>
      <c r="D1526" t="s">
        <v>1514</v>
      </c>
      <c r="E1526" t="str">
        <f t="shared" si="947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8.4541937816369525E-2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0.59074290275312125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0.93556942492146433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1.4027611665443493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1.9301546354267687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1.9067550531168702</v>
      </c>
    </row>
    <row r="1527" spans="2:11" x14ac:dyDescent="0.25">
      <c r="B1527" t="str">
        <f t="shared" si="948"/>
        <v>SPS4</v>
      </c>
      <c r="C1527" t="str">
        <f t="shared" si="946"/>
        <v>CH</v>
      </c>
      <c r="D1527" t="s">
        <v>1515</v>
      </c>
      <c r="E1527" t="str">
        <f t="shared" si="947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0.12397287682497615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0.1798799415763275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0.1779395154844369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0.11192870316488703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3.2612599435550844E-4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1.961230450316919E-4</v>
      </c>
    </row>
    <row r="1528" spans="2:11" x14ac:dyDescent="0.25">
      <c r="B1528" t="str">
        <f t="shared" si="948"/>
        <v>SPS4</v>
      </c>
      <c r="C1528" t="str">
        <f t="shared" si="946"/>
        <v>CH</v>
      </c>
      <c r="D1528" t="s">
        <v>1516</v>
      </c>
      <c r="E1528" t="str">
        <f t="shared" si="947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7.9001244118426475E-2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9.9012925630694512E-3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1.020315793265409E-2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1.0001330925625237E-2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4.7305265994132184E-3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1.2206899131718014E-4</v>
      </c>
    </row>
    <row r="1529" spans="2:11" x14ac:dyDescent="0.25">
      <c r="B1529" t="str">
        <f t="shared" si="948"/>
        <v>SPS4</v>
      </c>
      <c r="C1529" t="str">
        <f t="shared" si="946"/>
        <v>CH</v>
      </c>
      <c r="D1529" t="s">
        <v>1517</v>
      </c>
      <c r="E1529" t="str">
        <f t="shared" si="947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2.9396491572115765E-2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2.6618653682114492E-2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2.7028452251828445E-2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2.6733645418084376E-2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2.6604145978160704E-2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3.774027946430419E-3</v>
      </c>
    </row>
    <row r="1530" spans="2:11" x14ac:dyDescent="0.25">
      <c r="B1530" s="9" t="str">
        <f t="shared" si="948"/>
        <v>SPS4</v>
      </c>
      <c r="C1530" s="9" t="str">
        <f t="shared" si="946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48"/>
        <v>SPS4</v>
      </c>
      <c r="C1531" t="str">
        <f t="shared" si="946"/>
        <v>CH</v>
      </c>
      <c r="D1531" t="s">
        <v>1520</v>
      </c>
      <c r="E1531" t="s">
        <v>1230</v>
      </c>
      <c r="F1531" s="1">
        <f t="shared" ref="F1531:K1534" si="949">IFERROR(F1517/F1497,"-")</f>
        <v>11.09892701243189</v>
      </c>
      <c r="G1531" s="1">
        <f t="shared" si="949"/>
        <v>11.114569580512971</v>
      </c>
      <c r="H1531" s="1">
        <f t="shared" si="949"/>
        <v>11.115443683674853</v>
      </c>
      <c r="I1531" s="1">
        <f t="shared" si="949"/>
        <v>11.123559820809165</v>
      </c>
      <c r="J1531" s="1">
        <f t="shared" si="949"/>
        <v>11.548696398172536</v>
      </c>
      <c r="K1531" s="1">
        <f t="shared" si="949"/>
        <v>11.778147255278787</v>
      </c>
    </row>
    <row r="1532" spans="2:11" x14ac:dyDescent="0.25">
      <c r="B1532" t="str">
        <f t="shared" si="948"/>
        <v>SPS4</v>
      </c>
      <c r="C1532" t="str">
        <f t="shared" si="946"/>
        <v>CH</v>
      </c>
      <c r="D1532" t="s">
        <v>1521</v>
      </c>
      <c r="E1532" t="s">
        <v>1230</v>
      </c>
      <c r="F1532" s="1">
        <f t="shared" si="949"/>
        <v>6.2845243629359935</v>
      </c>
      <c r="G1532" s="1">
        <f t="shared" si="949"/>
        <v>6.2880696108152652</v>
      </c>
      <c r="H1532" s="1">
        <f t="shared" si="949"/>
        <v>6.2905357639799151</v>
      </c>
      <c r="I1532" s="1">
        <f t="shared" si="949"/>
        <v>6.2982302426232142</v>
      </c>
      <c r="J1532" s="1">
        <f t="shared" si="949"/>
        <v>6.538266338812976</v>
      </c>
      <c r="K1532" s="1">
        <f t="shared" si="949"/>
        <v>6.632898975517004</v>
      </c>
    </row>
    <row r="1533" spans="2:11" x14ac:dyDescent="0.25">
      <c r="B1533" t="str">
        <f t="shared" si="948"/>
        <v>SPS4</v>
      </c>
      <c r="C1533" t="str">
        <f t="shared" si="946"/>
        <v>CH</v>
      </c>
      <c r="D1533" t="s">
        <v>1522</v>
      </c>
      <c r="E1533" t="s">
        <v>1230</v>
      </c>
      <c r="F1533" s="1">
        <f t="shared" si="949"/>
        <v>4.0901432735634886</v>
      </c>
      <c r="G1533" s="1">
        <f t="shared" si="949"/>
        <v>4.0965554823328691</v>
      </c>
      <c r="H1533" s="1">
        <f t="shared" si="949"/>
        <v>4.1015836225026092</v>
      </c>
      <c r="I1533" s="1">
        <f t="shared" si="949"/>
        <v>4.1110429966483721</v>
      </c>
      <c r="J1533" s="1">
        <f t="shared" si="949"/>
        <v>4.1753710705140792</v>
      </c>
      <c r="K1533" s="1">
        <f t="shared" si="949"/>
        <v>4.3325716360825925</v>
      </c>
    </row>
    <row r="1534" spans="2:11" x14ac:dyDescent="0.25">
      <c r="B1534" t="str">
        <f t="shared" si="948"/>
        <v>SPS4</v>
      </c>
      <c r="C1534" t="str">
        <f t="shared" si="946"/>
        <v>CH</v>
      </c>
      <c r="D1534" t="s">
        <v>1523</v>
      </c>
      <c r="E1534" t="s">
        <v>1230</v>
      </c>
      <c r="F1534" s="1">
        <f t="shared" si="949"/>
        <v>3.7650534829600422</v>
      </c>
      <c r="G1534" s="1">
        <f t="shared" si="949"/>
        <v>3.7756924421033258</v>
      </c>
      <c r="H1534" s="1">
        <f t="shared" si="949"/>
        <v>3.7881747121123976</v>
      </c>
      <c r="I1534" s="1">
        <f t="shared" si="949"/>
        <v>3.8048096362499764</v>
      </c>
      <c r="J1534" s="1">
        <f t="shared" si="949"/>
        <v>3.8574030066040299</v>
      </c>
      <c r="K1534" s="1">
        <f t="shared" si="949"/>
        <v>3.9622666953841521</v>
      </c>
    </row>
    <row r="1535" spans="2:11" x14ac:dyDescent="0.25">
      <c r="B1535" t="str">
        <f t="shared" si="948"/>
        <v>SPS4</v>
      </c>
      <c r="C1535" t="str">
        <f t="shared" si="946"/>
        <v>CH</v>
      </c>
      <c r="D1535" t="s">
        <v>1524</v>
      </c>
      <c r="E1535" t="s">
        <v>1230</v>
      </c>
      <c r="F1535" s="1" t="str">
        <f t="shared" ref="F1535:K1538" si="950">IFERROR(F1521/F1502,"-")</f>
        <v>-</v>
      </c>
      <c r="G1535" s="1" t="str">
        <f t="shared" si="950"/>
        <v>-</v>
      </c>
      <c r="H1535" s="1" t="str">
        <f t="shared" si="950"/>
        <v>-</v>
      </c>
      <c r="I1535" s="1">
        <f t="shared" si="950"/>
        <v>4.6391179485367822</v>
      </c>
      <c r="J1535" s="1">
        <f t="shared" si="950"/>
        <v>4.7426930399559595</v>
      </c>
      <c r="K1535" s="1">
        <f t="shared" si="950"/>
        <v>4.8564291000087154</v>
      </c>
    </row>
    <row r="1536" spans="2:11" x14ac:dyDescent="0.25">
      <c r="B1536" t="str">
        <f t="shared" si="948"/>
        <v>SPS4</v>
      </c>
      <c r="C1536" t="str">
        <f t="shared" si="946"/>
        <v>CH</v>
      </c>
      <c r="D1536" t="s">
        <v>1525</v>
      </c>
      <c r="E1536" t="s">
        <v>1230</v>
      </c>
      <c r="F1536" s="1" t="str">
        <f t="shared" si="950"/>
        <v>-</v>
      </c>
      <c r="G1536" s="1" t="str">
        <f t="shared" si="950"/>
        <v>-</v>
      </c>
      <c r="H1536" s="1" t="str">
        <f t="shared" si="950"/>
        <v>-</v>
      </c>
      <c r="I1536" s="1">
        <f t="shared" si="950"/>
        <v>2.7008868509993609</v>
      </c>
      <c r="J1536" s="1">
        <f t="shared" si="950"/>
        <v>2.7501487167040395</v>
      </c>
      <c r="K1536" s="1">
        <f t="shared" si="950"/>
        <v>2.8061667140653697</v>
      </c>
    </row>
    <row r="1537" spans="2:11" x14ac:dyDescent="0.25">
      <c r="B1537" t="str">
        <f t="shared" si="948"/>
        <v>SPS4</v>
      </c>
      <c r="C1537" t="str">
        <f t="shared" si="946"/>
        <v>CH</v>
      </c>
      <c r="D1537" t="s">
        <v>1526</v>
      </c>
      <c r="E1537" t="s">
        <v>1230</v>
      </c>
      <c r="F1537" s="1" t="str">
        <f t="shared" si="950"/>
        <v>-</v>
      </c>
      <c r="G1537" s="1" t="str">
        <f t="shared" si="950"/>
        <v>-</v>
      </c>
      <c r="H1537" s="1" t="str">
        <f t="shared" si="950"/>
        <v>-</v>
      </c>
      <c r="I1537" s="1">
        <f t="shared" si="950"/>
        <v>1.7606485351727286</v>
      </c>
      <c r="J1537" s="1">
        <f t="shared" si="950"/>
        <v>1.7886685809422296</v>
      </c>
      <c r="K1537" s="1">
        <f t="shared" si="950"/>
        <v>1.8211488424046014</v>
      </c>
    </row>
    <row r="1538" spans="2:11" x14ac:dyDescent="0.25">
      <c r="B1538" t="str">
        <f t="shared" si="948"/>
        <v>SPS4</v>
      </c>
      <c r="C1538" t="str">
        <f t="shared" si="946"/>
        <v>CH</v>
      </c>
      <c r="D1538" t="s">
        <v>1527</v>
      </c>
      <c r="E1538" t="s">
        <v>1230</v>
      </c>
      <c r="F1538" s="1" t="str">
        <f t="shared" si="950"/>
        <v>-</v>
      </c>
      <c r="G1538" s="1" t="str">
        <f t="shared" si="950"/>
        <v>-</v>
      </c>
      <c r="H1538" s="1" t="str">
        <f t="shared" si="950"/>
        <v>-</v>
      </c>
      <c r="I1538" s="1">
        <f t="shared" si="950"/>
        <v>1.5620411785777206</v>
      </c>
      <c r="J1538" s="1">
        <f t="shared" si="950"/>
        <v>1.591609127068639</v>
      </c>
      <c r="K1538" s="1">
        <f t="shared" si="950"/>
        <v>1.6157803796814161</v>
      </c>
    </row>
    <row r="1539" spans="2:11" x14ac:dyDescent="0.25">
      <c r="B1539" t="str">
        <f t="shared" si="948"/>
        <v>SPS4</v>
      </c>
      <c r="C1539" t="str">
        <f t="shared" si="946"/>
        <v>CH</v>
      </c>
      <c r="D1539" t="s">
        <v>1583</v>
      </c>
      <c r="E1539" t="s">
        <v>1230</v>
      </c>
      <c r="F1539" s="1">
        <f t="shared" ref="F1539:K1543" si="951">IFERROR(F1525/F1511,"-")</f>
        <v>0.77116510534577665</v>
      </c>
      <c r="G1539" s="1">
        <f t="shared" si="951"/>
        <v>0.78723832996731979</v>
      </c>
      <c r="H1539" s="1">
        <f t="shared" si="951"/>
        <v>0.81134816689963307</v>
      </c>
      <c r="I1539" s="1">
        <f t="shared" si="951"/>
        <v>0.85153122845348905</v>
      </c>
      <c r="J1539" s="1" t="str">
        <f t="shared" si="951"/>
        <v>-</v>
      </c>
      <c r="K1539" s="1" t="str">
        <f t="shared" si="951"/>
        <v>-</v>
      </c>
    </row>
    <row r="1540" spans="2:11" x14ac:dyDescent="0.25">
      <c r="B1540" t="str">
        <f t="shared" si="948"/>
        <v>SPS4</v>
      </c>
      <c r="C1540" t="str">
        <f t="shared" si="946"/>
        <v>CH</v>
      </c>
      <c r="D1540" t="s">
        <v>1584</v>
      </c>
      <c r="E1540" t="s">
        <v>1230</v>
      </c>
      <c r="F1540" s="1">
        <f t="shared" si="951"/>
        <v>1.9078836334110896</v>
      </c>
      <c r="G1540" s="1">
        <f t="shared" si="951"/>
        <v>1.9230111306776723</v>
      </c>
      <c r="H1540" s="1">
        <f t="shared" si="951"/>
        <v>1.9338082193051529</v>
      </c>
      <c r="I1540" s="1">
        <f t="shared" si="951"/>
        <v>1.9677450350010954</v>
      </c>
      <c r="J1540" s="1">
        <f t="shared" si="951"/>
        <v>2.0619481473792365</v>
      </c>
      <c r="K1540" s="1">
        <f t="shared" si="951"/>
        <v>2.1599351239154094</v>
      </c>
    </row>
    <row r="1541" spans="2:11" x14ac:dyDescent="0.25">
      <c r="B1541" t="str">
        <f t="shared" si="948"/>
        <v>SPS4</v>
      </c>
      <c r="C1541" t="str">
        <f t="shared" si="946"/>
        <v>CH</v>
      </c>
      <c r="D1541" t="s">
        <v>1585</v>
      </c>
      <c r="E1541" t="s">
        <v>1230</v>
      </c>
      <c r="F1541" s="1">
        <f t="shared" si="951"/>
        <v>1.1027629847473222</v>
      </c>
      <c r="G1541" s="1">
        <f t="shared" si="951"/>
        <v>1.1042929345177999</v>
      </c>
      <c r="H1541" s="1">
        <f t="shared" si="951"/>
        <v>1.1043199429872796</v>
      </c>
      <c r="I1541" s="1">
        <f t="shared" si="951"/>
        <v>1.1045992097969612</v>
      </c>
      <c r="J1541" s="1">
        <f t="shared" si="951"/>
        <v>1.1821430341372219</v>
      </c>
      <c r="K1541" s="1">
        <f t="shared" si="951"/>
        <v>1.2161337778339545</v>
      </c>
    </row>
    <row r="1542" spans="2:11" x14ac:dyDescent="0.25">
      <c r="B1542" t="str">
        <f t="shared" si="948"/>
        <v>SPS4</v>
      </c>
      <c r="C1542" t="str">
        <f t="shared" si="946"/>
        <v>CH</v>
      </c>
      <c r="D1542" t="s">
        <v>1586</v>
      </c>
      <c r="E1542" t="s">
        <v>1230</v>
      </c>
      <c r="F1542" s="1">
        <f t="shared" si="951"/>
        <v>0.72942698043636955</v>
      </c>
      <c r="G1542" s="1">
        <f t="shared" si="951"/>
        <v>0.73203091856724267</v>
      </c>
      <c r="H1542" s="1">
        <f t="shared" si="951"/>
        <v>0.73206550880276589</v>
      </c>
      <c r="I1542" s="1">
        <f t="shared" si="951"/>
        <v>0.73224911804794812</v>
      </c>
      <c r="J1542" s="1">
        <f t="shared" si="951"/>
        <v>0.73379595798452468</v>
      </c>
      <c r="K1542" s="1">
        <f t="shared" si="951"/>
        <v>0.79502550946085804</v>
      </c>
    </row>
    <row r="1543" spans="2:11" x14ac:dyDescent="0.25">
      <c r="B1543" t="str">
        <f t="shared" si="948"/>
        <v>SPS4</v>
      </c>
      <c r="C1543" t="str">
        <f t="shared" si="946"/>
        <v>CH</v>
      </c>
      <c r="D1543" t="s">
        <v>1587</v>
      </c>
      <c r="E1543" t="s">
        <v>1230</v>
      </c>
      <c r="F1543" s="1">
        <f t="shared" si="951"/>
        <v>0.67580166525687335</v>
      </c>
      <c r="G1543" s="1">
        <f t="shared" si="951"/>
        <v>0.67775401368607635</v>
      </c>
      <c r="H1543" s="1">
        <f t="shared" si="951"/>
        <v>0.67775327241693772</v>
      </c>
      <c r="I1543" s="1">
        <f t="shared" si="951"/>
        <v>0.67778734280331121</v>
      </c>
      <c r="J1543" s="1">
        <f t="shared" si="951"/>
        <v>0.67787804299847099</v>
      </c>
      <c r="K1543" s="1">
        <f t="shared" si="951"/>
        <v>0.67928957675573276</v>
      </c>
    </row>
    <row r="1544" spans="2:11" x14ac:dyDescent="0.25">
      <c r="B1544" s="2" t="str">
        <f t="shared" si="948"/>
        <v>SPS4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16.70666808339903</v>
      </c>
      <c r="G1544" s="3">
        <f t="shared" ref="G1544:K1544" si="952">G1545+G1548+G1550+G1557+G1565</f>
        <v>15.580341102747509</v>
      </c>
      <c r="H1544" s="3">
        <f t="shared" si="952"/>
        <v>14.052417342117691</v>
      </c>
      <c r="I1544" s="3">
        <f t="shared" si="952"/>
        <v>11.533355566059919</v>
      </c>
      <c r="J1544" s="3">
        <f t="shared" si="952"/>
        <v>9.2221269679203104</v>
      </c>
      <c r="K1544" s="3">
        <f t="shared" si="952"/>
        <v>10.044862596375147</v>
      </c>
    </row>
    <row r="1545" spans="2:11" x14ac:dyDescent="0.25">
      <c r="B1545" t="str">
        <f t="shared" si="948"/>
        <v>SPS4</v>
      </c>
      <c r="C1545" t="str">
        <f t="shared" ref="C1545:C1590" si="953">C1544</f>
        <v>CH</v>
      </c>
      <c r="D1545" t="s">
        <v>1537</v>
      </c>
      <c r="E1545" t="str">
        <f>E1544</f>
        <v>PJ/yr.</v>
      </c>
      <c r="F1545" s="1">
        <f>SUM(F1546:F1547)</f>
        <v>7.6059308014602089E-2</v>
      </c>
      <c r="G1545" s="1">
        <f t="shared" ref="G1545:K1545" si="954">SUM(G1546:G1547)</f>
        <v>0.11410100933401147</v>
      </c>
      <c r="H1545" s="1">
        <f t="shared" si="954"/>
        <v>0.32250561119336679</v>
      </c>
      <c r="I1545" s="1">
        <f t="shared" si="954"/>
        <v>1.2419436409716795</v>
      </c>
      <c r="J1545" s="1">
        <f t="shared" si="954"/>
        <v>4.3310287518958068</v>
      </c>
      <c r="K1545" s="1">
        <f t="shared" si="954"/>
        <v>4.4874121158790272</v>
      </c>
    </row>
    <row r="1546" spans="2:11" x14ac:dyDescent="0.25">
      <c r="B1546" t="str">
        <f t="shared" si="948"/>
        <v>SPS4</v>
      </c>
      <c r="C1546" t="str">
        <f t="shared" si="953"/>
        <v>CH</v>
      </c>
      <c r="D1546" t="s">
        <v>1544</v>
      </c>
      <c r="E1546" t="str">
        <f t="shared" ref="E1546:E1570" si="955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4.0536817731954805E-2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3.4848407553179722E-2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2.642295119818525E-2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1.3203971726678478E-2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948"/>
        <v>SPS4</v>
      </c>
      <c r="C1547" t="str">
        <f t="shared" si="953"/>
        <v>CH</v>
      </c>
      <c r="D1547" t="s">
        <v>1545</v>
      </c>
      <c r="E1547" t="str">
        <f t="shared" si="955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3.5522490282647284E-2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7.9252601780831752E-2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0.29608265999518152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1.228739669245001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4.3310287518958068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4.4874121158790272</v>
      </c>
    </row>
    <row r="1548" spans="2:11" x14ac:dyDescent="0.25">
      <c r="B1548" t="str">
        <f t="shared" si="948"/>
        <v>SPS4</v>
      </c>
      <c r="C1548" t="str">
        <f t="shared" si="953"/>
        <v>CH</v>
      </c>
      <c r="D1548" t="s">
        <v>1538</v>
      </c>
      <c r="E1548" t="str">
        <f t="shared" si="955"/>
        <v>PJ/yr.</v>
      </c>
      <c r="F1548" s="1">
        <f>F1549</f>
        <v>0</v>
      </c>
      <c r="G1548" s="1">
        <f t="shared" ref="G1548:K1548" si="956">G1549</f>
        <v>6.2073124472888702E-5</v>
      </c>
      <c r="H1548" s="1">
        <f t="shared" si="956"/>
        <v>1.2908274268409519E-4</v>
      </c>
      <c r="I1548" s="1">
        <f t="shared" si="956"/>
        <v>2.1090029699922242E-4</v>
      </c>
      <c r="J1548" s="1">
        <f t="shared" si="956"/>
        <v>3.2546434572794603E-4</v>
      </c>
      <c r="K1548" s="1">
        <f t="shared" si="956"/>
        <v>3.7334803077631164E-4</v>
      </c>
    </row>
    <row r="1549" spans="2:11" x14ac:dyDescent="0.25">
      <c r="B1549" t="str">
        <f t="shared" si="948"/>
        <v>SPS4</v>
      </c>
      <c r="C1549" t="str">
        <f t="shared" si="953"/>
        <v>CH</v>
      </c>
      <c r="D1549" t="s">
        <v>1546</v>
      </c>
      <c r="E1549" t="str">
        <f t="shared" si="955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6.2073124472888702E-5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1.2908274268409519E-4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2.1090029699922242E-4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3.2546434572794603E-4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3.7334803077631164E-4</v>
      </c>
    </row>
    <row r="1550" spans="2:11" x14ac:dyDescent="0.25">
      <c r="B1550" t="str">
        <f t="shared" si="948"/>
        <v>SPS4</v>
      </c>
      <c r="C1550" t="str">
        <f t="shared" si="953"/>
        <v>CH</v>
      </c>
      <c r="D1550" t="s">
        <v>1539</v>
      </c>
      <c r="E1550" t="str">
        <f t="shared" si="955"/>
        <v>PJ/yr.</v>
      </c>
      <c r="F1550" s="1">
        <f>SUM(F1555:F1556)</f>
        <v>1.190190423516547</v>
      </c>
      <c r="G1550" s="1">
        <f t="shared" ref="G1550:K1550" si="957">SUM(G1555:G1556)</f>
        <v>2.3250967823358457</v>
      </c>
      <c r="H1550" s="1">
        <f t="shared" si="957"/>
        <v>1.4728744204580639</v>
      </c>
      <c r="I1550" s="1">
        <f t="shared" si="957"/>
        <v>1.6339865957137016</v>
      </c>
      <c r="J1550" s="1">
        <f t="shared" si="957"/>
        <v>1.4682636404117422</v>
      </c>
      <c r="K1550" s="1">
        <f t="shared" si="957"/>
        <v>1.7846488400089933</v>
      </c>
    </row>
    <row r="1551" spans="2:11" x14ac:dyDescent="0.25">
      <c r="B1551" t="str">
        <f t="shared" si="948"/>
        <v>SPS4</v>
      </c>
      <c r="C1551" t="str">
        <f t="shared" si="953"/>
        <v>CH</v>
      </c>
      <c r="D1551" t="s">
        <v>1540</v>
      </c>
      <c r="E1551" t="str">
        <f t="shared" si="955"/>
        <v>PJ/yr.</v>
      </c>
      <c r="F1551" s="1">
        <f>F1550-F1552</f>
        <v>1.1250389621699906</v>
      </c>
      <c r="G1551" s="1">
        <f t="shared" ref="G1551:K1551" si="958">G1550-G1552</f>
        <v>2.197819542538924</v>
      </c>
      <c r="H1551" s="1">
        <f t="shared" si="958"/>
        <v>1.392243356856524</v>
      </c>
      <c r="I1551" s="1">
        <f t="shared" si="958"/>
        <v>1.544539995845414</v>
      </c>
      <c r="J1551" s="1">
        <f t="shared" si="958"/>
        <v>1.3878844872550162</v>
      </c>
      <c r="K1551" s="1">
        <f t="shared" si="958"/>
        <v>1.6869459576708117</v>
      </c>
    </row>
    <row r="1552" spans="2:11" x14ac:dyDescent="0.25">
      <c r="B1552" t="str">
        <f t="shared" si="948"/>
        <v>SPS4</v>
      </c>
      <c r="C1552" t="str">
        <f t="shared" si="953"/>
        <v>CH</v>
      </c>
      <c r="D1552" t="s">
        <v>1541</v>
      </c>
      <c r="E1552" t="str">
        <f t="shared" si="955"/>
        <v>PJ/yr.</v>
      </c>
      <c r="F1552" s="1">
        <f>SUM(F1553:F1554)</f>
        <v>6.515146134655643E-2</v>
      </c>
      <c r="G1552" s="1">
        <f t="shared" ref="G1552:K1552" si="959">SUM(G1553:G1554)</f>
        <v>0.12727723979692188</v>
      </c>
      <c r="H1552" s="1">
        <f t="shared" si="959"/>
        <v>8.0631063601540001E-2</v>
      </c>
      <c r="I1552" s="1">
        <f t="shared" si="959"/>
        <v>8.9446599868287652E-2</v>
      </c>
      <c r="J1552" s="1">
        <f t="shared" si="959"/>
        <v>8.0379153156725933E-2</v>
      </c>
      <c r="K1552" s="1">
        <f t="shared" si="959"/>
        <v>9.7702882338181696E-2</v>
      </c>
    </row>
    <row r="1553" spans="2:11" x14ac:dyDescent="0.25">
      <c r="B1553" t="str">
        <f t="shared" si="948"/>
        <v>SPS4</v>
      </c>
      <c r="C1553" t="str">
        <f t="shared" si="953"/>
        <v>CH</v>
      </c>
      <c r="D1553" t="s">
        <v>1542</v>
      </c>
      <c r="E1553" t="str">
        <f t="shared" si="955"/>
        <v>PJ/yr.</v>
      </c>
      <c r="F1553" s="1">
        <f>[1]Transport!B$25/SUM([1]Transport!B$21,[1]Transport!B$25)*F1550*(F$34+F$598)/(F$34+F$598+F$37)</f>
        <v>6.515146134655643E-2</v>
      </c>
      <c r="G1553" s="1">
        <f>[1]Transport!C$25/SUM([1]Transport!C$21,[1]Transport!C$25)*G1550*(G$34+G$598)/(G$34+G$598+G$37)</f>
        <v>0.12727723979692188</v>
      </c>
      <c r="H1553" s="1">
        <f>[1]Transport!D$25/SUM([1]Transport!D$21,[1]Transport!D$25)*H1550*(H$34+H$598)/(H$34+H$598+H$37)</f>
        <v>8.0631063601540001E-2</v>
      </c>
      <c r="I1553" s="1">
        <f>[1]Transport!E$25/SUM([1]Transport!E$21,[1]Transport!E$25)*I1550*(I$34+I$598)/(I$34+I$598+I$37)</f>
        <v>8.9446599868287652E-2</v>
      </c>
      <c r="J1553" s="1">
        <f>[1]Transport!F$25/SUM([1]Transport!F$21,[1]Transport!F$25)*J1550*(J$34+J$598)/(J$34+J$598+J$37)</f>
        <v>8.0379153156725933E-2</v>
      </c>
      <c r="K1553" s="1">
        <f>[1]Transport!G$25/SUM([1]Transport!G$21,[1]Transport!G$25)*K1550*(K$34+K$598)/(K$34+K$598+K$37)</f>
        <v>9.7702882338181696E-2</v>
      </c>
    </row>
    <row r="1554" spans="2:11" x14ac:dyDescent="0.25">
      <c r="B1554" t="str">
        <f t="shared" si="948"/>
        <v>SPS4</v>
      </c>
      <c r="C1554" t="str">
        <f t="shared" si="953"/>
        <v>CH</v>
      </c>
      <c r="D1554" t="s">
        <v>1543</v>
      </c>
      <c r="E1554" t="str">
        <f t="shared" si="955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</v>
      </c>
      <c r="K1554" s="1">
        <f>(K$37+K$717)/([1]Transport!G$21+[1]Transport!G$25)*K1550</f>
        <v>0</v>
      </c>
    </row>
    <row r="1555" spans="2:11" x14ac:dyDescent="0.25">
      <c r="B1555" t="str">
        <f t="shared" si="948"/>
        <v>SPS4</v>
      </c>
      <c r="C1555" t="str">
        <f t="shared" si="953"/>
        <v>CH</v>
      </c>
      <c r="D1555" t="s">
        <v>1589</v>
      </c>
      <c r="E1555" t="str">
        <f t="shared" si="955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0.8317943451887817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1.7480537780947487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0.54344899764394639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0.27093521940803167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948"/>
        <v>SPS4</v>
      </c>
      <c r="C1556" t="str">
        <f t="shared" si="953"/>
        <v>CH</v>
      </c>
      <c r="D1556" t="s">
        <v>1588</v>
      </c>
      <c r="E1556" t="str">
        <f t="shared" si="955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0.35839607832776532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0.57704300424109711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0.92942542281411744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1.36305137630567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1.4682636404117422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1.7846488400089933</v>
      </c>
    </row>
    <row r="1557" spans="2:11" x14ac:dyDescent="0.25">
      <c r="B1557" t="str">
        <f t="shared" si="948"/>
        <v>SPS4</v>
      </c>
      <c r="C1557" t="str">
        <f t="shared" si="953"/>
        <v>CH</v>
      </c>
      <c r="D1557" t="s">
        <v>1547</v>
      </c>
      <c r="E1557" t="str">
        <f t="shared" si="955"/>
        <v>PJ/yr.</v>
      </c>
      <c r="F1557" s="1">
        <f>SUM(F1562:F1564)</f>
        <v>15.432134755808548</v>
      </c>
      <c r="G1557" s="1">
        <f t="shared" ref="G1557:K1557" si="960">SUM(G1562:G1564)</f>
        <v>13.130901568717798</v>
      </c>
      <c r="H1557" s="1">
        <f t="shared" si="960"/>
        <v>12.242843602932778</v>
      </c>
      <c r="I1557" s="1">
        <f t="shared" si="960"/>
        <v>8.6571222820850213</v>
      </c>
      <c r="J1557" s="1">
        <f t="shared" si="960"/>
        <v>3.4223821040222981</v>
      </c>
      <c r="K1557" s="1">
        <f t="shared" si="960"/>
        <v>3.772301881157675</v>
      </c>
    </row>
    <row r="1558" spans="2:11" x14ac:dyDescent="0.25">
      <c r="B1558" t="str">
        <f t="shared" si="948"/>
        <v>SPS4</v>
      </c>
      <c r="C1558" t="str">
        <f t="shared" si="953"/>
        <v>CH</v>
      </c>
      <c r="D1558" t="s">
        <v>1548</v>
      </c>
      <c r="E1558" t="str">
        <f t="shared" si="955"/>
        <v>PJ/yr.</v>
      </c>
      <c r="F1558" s="1">
        <f>F1557-F1559</f>
        <v>15.050809221166839</v>
      </c>
      <c r="G1558" s="1">
        <f t="shared" ref="G1558:K1558" si="961">G1557-G1559</f>
        <v>12.775487093015069</v>
      </c>
      <c r="H1558" s="1">
        <f t="shared" si="961"/>
        <v>11.835364389208845</v>
      </c>
      <c r="I1558" s="1">
        <f t="shared" si="961"/>
        <v>8.3256408917362119</v>
      </c>
      <c r="J1558" s="1">
        <f t="shared" si="961"/>
        <v>3.3268465601182804</v>
      </c>
      <c r="K1558" s="1">
        <f t="shared" si="961"/>
        <v>3.6731839339396561</v>
      </c>
    </row>
    <row r="1559" spans="2:11" x14ac:dyDescent="0.25">
      <c r="B1559" t="str">
        <f t="shared" si="948"/>
        <v>SPS4</v>
      </c>
      <c r="C1559" t="str">
        <f t="shared" si="953"/>
        <v>CH</v>
      </c>
      <c r="D1559" t="s">
        <v>1549</v>
      </c>
      <c r="E1559" t="str">
        <f t="shared" si="955"/>
        <v>PJ/yr.</v>
      </c>
      <c r="F1559" s="1">
        <f>SUM(F1560:F1561)</f>
        <v>0.38132553464170948</v>
      </c>
      <c r="G1559" s="1">
        <f t="shared" ref="G1559:K1559" si="962">SUM(G1560:G1561)</f>
        <v>0.35541447570272772</v>
      </c>
      <c r="H1559" s="1">
        <f t="shared" si="962"/>
        <v>0.40747921372393375</v>
      </c>
      <c r="I1559" s="1">
        <f t="shared" si="962"/>
        <v>0.33148139034880891</v>
      </c>
      <c r="J1559" s="1">
        <f t="shared" si="962"/>
        <v>9.553554390401775E-2</v>
      </c>
      <c r="K1559" s="1">
        <f t="shared" si="962"/>
        <v>9.9117947218018684E-2</v>
      </c>
    </row>
    <row r="1560" spans="2:11" x14ac:dyDescent="0.25">
      <c r="B1560" t="str">
        <f t="shared" si="948"/>
        <v>SPS4</v>
      </c>
      <c r="C1560" t="str">
        <f t="shared" si="953"/>
        <v>CH</v>
      </c>
      <c r="D1560" t="s">
        <v>1550</v>
      </c>
      <c r="E1560" t="str">
        <f t="shared" si="955"/>
        <v>PJ/yr.</v>
      </c>
      <c r="F1560" s="1">
        <f>[1]Transport!B$26/SUM([1]Transport!B$22,[1]Transport!B$26)*F1557*(F$33+F$580)/(F$33+F$580+F$36)</f>
        <v>0.38132553464170948</v>
      </c>
      <c r="G1560" s="1">
        <f>[1]Transport!C$26/SUM([1]Transport!C$22,[1]Transport!C$26)*G1557*(G$33+G$580)/(G$33+G$580+G$36)</f>
        <v>0.35541447570272772</v>
      </c>
      <c r="H1560" s="1">
        <f>[1]Transport!D$26/SUM([1]Transport!D$22,[1]Transport!D$26)*H1557*(H$33+H$580)/(H$33+H$580+H$36)</f>
        <v>0.40747921372393375</v>
      </c>
      <c r="I1560" s="1">
        <f>[1]Transport!E$26/SUM([1]Transport!E$22,[1]Transport!E$26)*I1557*(I$33+I$580)/(I$33+I$580+I$36)</f>
        <v>0.33148139034880891</v>
      </c>
      <c r="J1560" s="1">
        <f>[1]Transport!F$26/SUM([1]Transport!F$22,[1]Transport!F$26)*J1557*(J$33+J$580)/(J$33+J$580+J$36)</f>
        <v>6.9433034252397718E-2</v>
      </c>
      <c r="K1560" s="1">
        <f>[1]Transport!G$26/SUM([1]Transport!G$22,[1]Transport!G$26)*K1557*(K$33+K$580)/(K$33+K$580+K$36)</f>
        <v>9.9113614877118408E-2</v>
      </c>
    </row>
    <row r="1561" spans="2:11" x14ac:dyDescent="0.25">
      <c r="B1561" t="str">
        <f t="shared" si="948"/>
        <v>SPS4</v>
      </c>
      <c r="C1561" t="str">
        <f t="shared" si="953"/>
        <v>CH</v>
      </c>
      <c r="D1561" t="s">
        <v>1551</v>
      </c>
      <c r="E1561" t="str">
        <f t="shared" si="955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2.6102509651620035E-2</v>
      </c>
      <c r="K1561" s="1">
        <f>(K$36+K$716)/([1]Transport!G$22+[1]Transport!G$26)*K1557</f>
        <v>4.3323409002751067E-6</v>
      </c>
    </row>
    <row r="1562" spans="2:11" x14ac:dyDescent="0.25">
      <c r="B1562" t="str">
        <f t="shared" si="948"/>
        <v>SPS4</v>
      </c>
      <c r="C1562" t="str">
        <f t="shared" si="953"/>
        <v>CH</v>
      </c>
      <c r="D1562" t="s">
        <v>1552</v>
      </c>
      <c r="E1562" t="str">
        <f t="shared" si="955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10.982980354089708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7.4388208648685668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5.6624651277826885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2.7254315330199907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948"/>
        <v>SPS4</v>
      </c>
      <c r="C1563" t="str">
        <f t="shared" si="953"/>
        <v>CH</v>
      </c>
      <c r="D1563" t="s">
        <v>1553</v>
      </c>
      <c r="E1563" t="str">
        <f t="shared" si="955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4.4491544017188396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5.2485368113894086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5.2495076128641776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2.1528795285945166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0.38802793357744403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6.8810284820461295E-2</v>
      </c>
    </row>
    <row r="1564" spans="2:11" x14ac:dyDescent="0.25">
      <c r="B1564" t="str">
        <f t="shared" si="948"/>
        <v>SPS4</v>
      </c>
      <c r="C1564" t="str">
        <f t="shared" si="953"/>
        <v>CH</v>
      </c>
      <c r="D1564" t="s">
        <v>1554</v>
      </c>
      <c r="E1564" t="str">
        <f t="shared" si="955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0.44354389245982301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1.3308708622859118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3.7788112204705135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3.0343541704448542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3.7034915963372135</v>
      </c>
    </row>
    <row r="1565" spans="2:11" x14ac:dyDescent="0.25">
      <c r="B1565" t="str">
        <f t="shared" si="948"/>
        <v>SPS4</v>
      </c>
      <c r="C1565" t="str">
        <f t="shared" si="953"/>
        <v>CH</v>
      </c>
      <c r="D1565" t="s">
        <v>1555</v>
      </c>
      <c r="E1565" t="str">
        <f t="shared" si="955"/>
        <v>PJ/yr.</v>
      </c>
      <c r="F1565" s="1">
        <f>F1570</f>
        <v>8.2835960593307511E-3</v>
      </c>
      <c r="G1565" s="1">
        <f t="shared" ref="G1565:K1565" si="963">G1570</f>
        <v>1.0179669235380173E-2</v>
      </c>
      <c r="H1565" s="1">
        <f t="shared" si="963"/>
        <v>1.4064624790798409E-2</v>
      </c>
      <c r="I1565" s="1">
        <f t="shared" si="963"/>
        <v>9.2146992515999802E-5</v>
      </c>
      <c r="J1565" s="1">
        <f t="shared" si="963"/>
        <v>1.270072447350766E-4</v>
      </c>
      <c r="K1565" s="1">
        <f t="shared" si="963"/>
        <v>1.2641129867464255E-4</v>
      </c>
    </row>
    <row r="1566" spans="2:11" x14ac:dyDescent="0.25">
      <c r="B1566" t="str">
        <f t="shared" si="948"/>
        <v>SPS4</v>
      </c>
      <c r="C1566" t="str">
        <f t="shared" si="953"/>
        <v>CH</v>
      </c>
      <c r="D1566" t="s">
        <v>1556</v>
      </c>
      <c r="E1566" t="str">
        <f t="shared" si="955"/>
        <v>PJ/yr.</v>
      </c>
      <c r="F1566" s="1">
        <f>F1565-F1567</f>
        <v>7.6582026353555705E-3</v>
      </c>
      <c r="G1566" s="1">
        <f t="shared" ref="G1566:K1566" si="964">G1565-G1567</f>
        <v>9.1922745966951259E-3</v>
      </c>
      <c r="H1566" s="1">
        <f t="shared" si="964"/>
        <v>1.280176965780788E-2</v>
      </c>
      <c r="I1566" s="1">
        <f t="shared" si="964"/>
        <v>9.2136886836067147E-5</v>
      </c>
      <c r="J1566" s="1">
        <f t="shared" si="964"/>
        <v>-4.635115565078652E-2</v>
      </c>
      <c r="K1566" s="1">
        <f t="shared" si="964"/>
        <v>-0.22696360488989309</v>
      </c>
    </row>
    <row r="1567" spans="2:11" x14ac:dyDescent="0.25">
      <c r="B1567" t="str">
        <f t="shared" si="948"/>
        <v>SPS4</v>
      </c>
      <c r="C1567" t="str">
        <f t="shared" si="953"/>
        <v>CH</v>
      </c>
      <c r="D1567" t="s">
        <v>1557</v>
      </c>
      <c r="E1567" t="str">
        <f t="shared" si="955"/>
        <v>PJ/yr.</v>
      </c>
      <c r="F1567" s="1">
        <f>SUM(F1568:F1569)</f>
        <v>6.2539342397518072E-4</v>
      </c>
      <c r="G1567" s="1">
        <f t="shared" ref="G1567:K1567" si="965">SUM(G1568:G1569)</f>
        <v>9.873946386850462E-4</v>
      </c>
      <c r="H1567" s="1">
        <f t="shared" si="965"/>
        <v>1.2628551329905279E-3</v>
      </c>
      <c r="I1567" s="1">
        <f t="shared" si="965"/>
        <v>1.010567993265586E-8</v>
      </c>
      <c r="J1567" s="1">
        <f t="shared" si="965"/>
        <v>4.6478162895521598E-2</v>
      </c>
      <c r="K1567" s="1">
        <f t="shared" si="965"/>
        <v>0.22709001618856772</v>
      </c>
    </row>
    <row r="1568" spans="2:11" x14ac:dyDescent="0.25">
      <c r="B1568" t="str">
        <f t="shared" si="948"/>
        <v>SPS4</v>
      </c>
      <c r="C1568" t="str">
        <f t="shared" si="953"/>
        <v>CH</v>
      </c>
      <c r="D1568" t="s">
        <v>1558</v>
      </c>
      <c r="E1568" t="str">
        <f t="shared" si="955"/>
        <v>PJ/yr.</v>
      </c>
      <c r="F1568" s="1">
        <f>[1]Transport!B$27/SUM([1]Transport!B$24,[1]Transport!B$27)*F1565*(F$45+F$612)/(F$45+F$612+F$47)</f>
        <v>6.2539342397518072E-4</v>
      </c>
      <c r="G1568" s="1">
        <f>[1]Transport!C$27/SUM([1]Transport!C$24,[1]Transport!C$27)*G1565*(G$45+G$612)/(G$45+G$612+G$47)</f>
        <v>9.873946386850462E-4</v>
      </c>
      <c r="H1568" s="1">
        <f>[1]Transport!D$27/SUM([1]Transport!D$24,[1]Transport!D$27)*H1565*(H$45+H$612)/(H$45+H$612+H$47)</f>
        <v>1.2628551329905279E-3</v>
      </c>
      <c r="I1568" s="1">
        <f>[1]Transport!E$27/SUM([1]Transport!E$24,[1]Transport!E$27)*I1565*(I$45+I$612)/(I$45+I$612+I$47)</f>
        <v>1.010567993265586E-8</v>
      </c>
      <c r="J1568" s="1">
        <f>[1]Transport!F$27/SUM([1]Transport!F$24,[1]Transport!F$27)*J1565*(J$45+J$612)/(J$45+J$612+J$47)</f>
        <v>4.1816721765102687E-6</v>
      </c>
      <c r="K1568" s="1">
        <f>[1]Transport!G$27/SUM([1]Transport!G$24,[1]Transport!G$27)*K1565*(K$45+K$612)/(K$45+K$612+K$47)</f>
        <v>2.1314907388504468E-6</v>
      </c>
    </row>
    <row r="1569" spans="2:11" x14ac:dyDescent="0.25">
      <c r="B1569" t="str">
        <f t="shared" si="948"/>
        <v>SPS4</v>
      </c>
      <c r="C1569" t="str">
        <f t="shared" si="953"/>
        <v>CH</v>
      </c>
      <c r="D1569" t="s">
        <v>1559</v>
      </c>
      <c r="E1569" t="str">
        <f t="shared" si="955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4.647398122334509E-2</v>
      </c>
      <c r="K1569" s="1">
        <f>(K$47+K$714)/([1]Transport!G$24+[1]Transport!G$27)*K1565</f>
        <v>0.22708788469782887</v>
      </c>
    </row>
    <row r="1570" spans="2:11" x14ac:dyDescent="0.25">
      <c r="B1570" t="str">
        <f t="shared" si="948"/>
        <v>SPS4</v>
      </c>
      <c r="C1570" t="str">
        <f t="shared" si="953"/>
        <v>CH</v>
      </c>
      <c r="D1570" t="s">
        <v>1560</v>
      </c>
      <c r="E1570" t="str">
        <f t="shared" si="955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8.2835960593307511E-3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1.0179669235380173E-2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1.4064624790798409E-2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9.2146992515999802E-5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1.270072447350766E-4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1.2641129867464255E-4</v>
      </c>
    </row>
    <row r="1571" spans="2:11" x14ac:dyDescent="0.25">
      <c r="B1571" s="2" t="str">
        <f t="shared" si="948"/>
        <v>SPS4</v>
      </c>
      <c r="C1571" s="2" t="str">
        <f t="shared" si="953"/>
        <v>CH</v>
      </c>
      <c r="D1571" s="2" t="s">
        <v>1561</v>
      </c>
      <c r="E1571" s="2" t="s">
        <v>1518</v>
      </c>
      <c r="F1571" s="3">
        <f>SUM(F1572:F1580)</f>
        <v>4.7786840273285698</v>
      </c>
      <c r="G1571" s="3">
        <f t="shared" ref="G1571:K1571" si="966">SUM(G1572:G1580)</f>
        <v>4.7670712384443465</v>
      </c>
      <c r="H1571" s="3">
        <f t="shared" si="966"/>
        <v>4.7076956799884773</v>
      </c>
      <c r="I1571" s="3">
        <f t="shared" si="966"/>
        <v>4.6466804791260659</v>
      </c>
      <c r="J1571" s="3">
        <f t="shared" si="966"/>
        <v>4.9977833085065155</v>
      </c>
      <c r="K1571" s="3">
        <f t="shared" si="966"/>
        <v>5.414606200352873</v>
      </c>
    </row>
    <row r="1572" spans="2:11" x14ac:dyDescent="0.25">
      <c r="B1572" t="str">
        <f t="shared" si="948"/>
        <v>SPS4</v>
      </c>
      <c r="C1572" t="str">
        <f t="shared" si="953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2.7938901183976225E-2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2.4242170351014454E-2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1.8635626534758573E-2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9.3125209227495846E-3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948"/>
        <v>SPS4</v>
      </c>
      <c r="C1573" t="str">
        <f t="shared" si="953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2.4203517657691069E-2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5.3999360161901593E-2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0.20173816171976588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0.83721107514257642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2.9509792257916523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3.0575322146564514</v>
      </c>
    </row>
    <row r="1574" spans="2:11" x14ac:dyDescent="0.25">
      <c r="B1574" t="str">
        <f t="shared" si="948"/>
        <v>SPS4</v>
      </c>
      <c r="C1574" t="str">
        <f t="shared" si="953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2.8870423209616243E-5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6.1778302837605664E-5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1.0574418275722997E-4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1.8364411123165204E-4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2.2203689798549377E-4</v>
      </c>
    </row>
    <row r="1575" spans="2:11" x14ac:dyDescent="0.25">
      <c r="B1575" t="str">
        <f t="shared" si="948"/>
        <v>SPS4</v>
      </c>
      <c r="C1575" t="str">
        <f t="shared" si="953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0.23089218277368781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0.4897528222487379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0.15436721334174927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7.6959411090044852E-2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948"/>
        <v>SPS4</v>
      </c>
      <c r="C1576" t="str">
        <f t="shared" si="953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0.12587931558937163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0.20267459057706128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0.32644173078313438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0.4787440062488435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0.5156976689648981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0.62682151991140811</v>
      </c>
    </row>
    <row r="1577" spans="2:11" x14ac:dyDescent="0.25">
      <c r="B1577" t="str">
        <f t="shared" si="948"/>
        <v>SPS4</v>
      </c>
      <c r="C1577" t="str">
        <f t="shared" si="953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2.8449942870252318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1.99313878857889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1.5927874690362582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0.76663309981573025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948"/>
        <v>SPS4</v>
      </c>
      <c r="C1578" t="str">
        <f t="shared" si="953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1.5221202933257971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1.7956006174559729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1.7959327427301486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0.73653133240181945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0.13274998769369009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2.3540997110437212E-2</v>
      </c>
    </row>
    <row r="1579" spans="2:11" x14ac:dyDescent="0.25">
      <c r="B1579" t="str">
        <f t="shared" si="948"/>
        <v>SPS4</v>
      </c>
      <c r="C1579" t="str">
        <f t="shared" si="953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0.20437065156177428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0.61322216333886181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1.7411537491218112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1.3981320663527643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1.7064489072308691</v>
      </c>
    </row>
    <row r="1580" spans="2:11" x14ac:dyDescent="0.25">
      <c r="B1580" t="str">
        <f t="shared" si="948"/>
        <v>SPS4</v>
      </c>
      <c r="C1580" t="str">
        <f t="shared" si="953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2.6555297728144199E-3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3.2633670857845978E-3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4.508794200962815E-3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2.9540199733171776E-5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4.0715592279178798E-5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4.0524545722207739E-5</v>
      </c>
    </row>
    <row r="1581" spans="2:11" x14ac:dyDescent="0.25">
      <c r="B1581" s="2" t="str">
        <f t="shared" si="948"/>
        <v>SPS4</v>
      </c>
      <c r="C1581" s="2" t="str">
        <f t="shared" si="953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948"/>
        <v>SPS4</v>
      </c>
      <c r="C1582" t="str">
        <f t="shared" si="953"/>
        <v>CH</v>
      </c>
      <c r="D1582" t="s">
        <v>1570</v>
      </c>
      <c r="E1582" t="s">
        <v>1577</v>
      </c>
      <c r="F1582" s="1">
        <f>IFERROR(F1572/F1546,"-")</f>
        <v>0.68922285337539568</v>
      </c>
      <c r="G1582" s="1">
        <f t="shared" ref="G1582:K1582" si="967">IFERROR(G1572/G1546,"-")</f>
        <v>0.69564643130450565</v>
      </c>
      <c r="H1582" s="1">
        <f t="shared" si="967"/>
        <v>0.70528179819816961</v>
      </c>
      <c r="I1582" s="1">
        <f t="shared" si="967"/>
        <v>0.70528179819816939</v>
      </c>
      <c r="J1582" s="1" t="str">
        <f t="shared" si="967"/>
        <v>-</v>
      </c>
      <c r="K1582" s="1" t="str">
        <f t="shared" si="967"/>
        <v>-</v>
      </c>
    </row>
    <row r="1583" spans="2:11" x14ac:dyDescent="0.25">
      <c r="B1583" t="str">
        <f t="shared" si="948"/>
        <v>SPS4</v>
      </c>
      <c r="C1583" t="str">
        <f t="shared" si="953"/>
        <v>CH</v>
      </c>
      <c r="D1583" t="s">
        <v>1571</v>
      </c>
      <c r="E1583" t="s">
        <v>1577</v>
      </c>
      <c r="F1583" s="1">
        <f>IFERROR(F1573/F1547,"-")</f>
        <v>0.68135756995377306</v>
      </c>
      <c r="G1583" s="1">
        <f t="shared" ref="G1583:K1583" si="968">IFERROR(G1573/G1547,"-")</f>
        <v>0.68135756995377306</v>
      </c>
      <c r="H1583" s="1">
        <f t="shared" si="968"/>
        <v>0.68135756995377239</v>
      </c>
      <c r="I1583" s="1">
        <f t="shared" si="968"/>
        <v>0.68135756995377283</v>
      </c>
      <c r="J1583" s="1">
        <f t="shared" si="968"/>
        <v>0.68135756995377372</v>
      </c>
      <c r="K1583" s="1">
        <f t="shared" si="968"/>
        <v>0.68135756995377272</v>
      </c>
    </row>
    <row r="1584" spans="2:11" x14ac:dyDescent="0.25">
      <c r="B1584" t="str">
        <f t="shared" si="948"/>
        <v>SPS4</v>
      </c>
      <c r="C1584" t="str">
        <f t="shared" si="953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969">IFERROR(G1574/G1549,"-")</f>
        <v>0.46510343171505408</v>
      </c>
      <c r="H1584" s="1">
        <f t="shared" si="969"/>
        <v>0.47859459407982985</v>
      </c>
      <c r="I1584" s="1">
        <f t="shared" si="969"/>
        <v>0.50139418607656039</v>
      </c>
      <c r="J1584" s="1">
        <f t="shared" si="969"/>
        <v>0.56425262441852608</v>
      </c>
      <c r="K1584" s="1">
        <f t="shared" si="969"/>
        <v>0.59471827807369726</v>
      </c>
    </row>
    <row r="1585" spans="2:11" x14ac:dyDescent="0.25">
      <c r="B1585" t="str">
        <f t="shared" si="948"/>
        <v>SPS4</v>
      </c>
      <c r="C1585" t="str">
        <f t="shared" si="953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970">IFERROR(G1575/G1555,"-")</f>
        <v>0.28017034051580081</v>
      </c>
      <c r="H1585" s="1">
        <f t="shared" si="970"/>
        <v>0.28405096708428679</v>
      </c>
      <c r="I1585" s="1">
        <f t="shared" si="970"/>
        <v>0.2840509670842869</v>
      </c>
      <c r="J1585" s="1" t="str">
        <f t="shared" si="970"/>
        <v>-</v>
      </c>
      <c r="K1585" s="1" t="str">
        <f t="shared" si="970"/>
        <v>-</v>
      </c>
    </row>
    <row r="1586" spans="2:11" x14ac:dyDescent="0.25">
      <c r="B1586" t="str">
        <f t="shared" si="948"/>
        <v>SPS4</v>
      </c>
      <c r="C1586" t="str">
        <f t="shared" si="953"/>
        <v>CH</v>
      </c>
      <c r="D1586" t="s">
        <v>1593</v>
      </c>
      <c r="E1586" t="s">
        <v>1577</v>
      </c>
      <c r="F1586" s="1">
        <f>IFERROR(F1576/F1556,"-")</f>
        <v>0.351229612156221</v>
      </c>
      <c r="G1586" s="1">
        <f t="shared" ref="G1586:K1586" si="971">IFERROR(G1576/G1556,"-")</f>
        <v>0.35122961215622123</v>
      </c>
      <c r="H1586" s="1">
        <f t="shared" si="971"/>
        <v>0.35122961215622123</v>
      </c>
      <c r="I1586" s="1">
        <f t="shared" si="971"/>
        <v>0.35122961215622084</v>
      </c>
      <c r="J1586" s="1">
        <f t="shared" si="971"/>
        <v>0.3512296121562215</v>
      </c>
      <c r="K1586" s="1">
        <f t="shared" si="971"/>
        <v>0.35122961215622084</v>
      </c>
    </row>
    <row r="1587" spans="2:11" x14ac:dyDescent="0.25">
      <c r="B1587" t="str">
        <f t="shared" si="948"/>
        <v>SPS4</v>
      </c>
      <c r="C1587" t="str">
        <f t="shared" si="953"/>
        <v>CH</v>
      </c>
      <c r="D1587" t="s">
        <v>1573</v>
      </c>
      <c r="E1587" t="s">
        <v>1577</v>
      </c>
      <c r="F1587" s="1">
        <f>IFERROR(F1577/F1562,"-")</f>
        <v>0.25903663625928708</v>
      </c>
      <c r="G1587" s="1">
        <f t="shared" ref="G1587:K1587" si="972">IFERROR(G1577/G1562,"-")</f>
        <v>0.26793746277611241</v>
      </c>
      <c r="H1587" s="1">
        <f t="shared" si="972"/>
        <v>0.28128870255135024</v>
      </c>
      <c r="I1587" s="1">
        <f t="shared" si="972"/>
        <v>0.28128870255135008</v>
      </c>
      <c r="J1587" s="1" t="str">
        <f t="shared" si="972"/>
        <v>-</v>
      </c>
      <c r="K1587" s="1" t="str">
        <f t="shared" si="972"/>
        <v>-</v>
      </c>
    </row>
    <row r="1588" spans="2:11" x14ac:dyDescent="0.25">
      <c r="B1588" t="str">
        <f t="shared" ref="B1588:B1651" si="973">B1587</f>
        <v>SPS4</v>
      </c>
      <c r="C1588" t="str">
        <f t="shared" si="953"/>
        <v>CH</v>
      </c>
      <c r="D1588" t="s">
        <v>1574</v>
      </c>
      <c r="E1588" t="s">
        <v>1577</v>
      </c>
      <c r="F1588" s="1">
        <f>IFERROR(F1578/F1563,"-")</f>
        <v>0.34211451343153143</v>
      </c>
      <c r="G1588" s="1">
        <f t="shared" ref="G1588:K1588" si="974">IFERROR(G1578/G1563,"-")</f>
        <v>0.34211451343153215</v>
      </c>
      <c r="H1588" s="1">
        <f t="shared" si="974"/>
        <v>0.34211451343153149</v>
      </c>
      <c r="I1588" s="1">
        <f t="shared" si="974"/>
        <v>0.34211451343153221</v>
      </c>
      <c r="J1588" s="1">
        <f t="shared" si="974"/>
        <v>0.34211451343153204</v>
      </c>
      <c r="K1588" s="1">
        <f t="shared" si="974"/>
        <v>0.34211451343153149</v>
      </c>
    </row>
    <row r="1589" spans="2:11" x14ac:dyDescent="0.25">
      <c r="B1589" t="str">
        <f t="shared" si="973"/>
        <v>SPS4</v>
      </c>
      <c r="C1589" t="str">
        <f t="shared" si="953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975">IFERROR(G1579/G1564,"-")</f>
        <v>0.46076759264650802</v>
      </c>
      <c r="H1589" s="1">
        <f t="shared" si="975"/>
        <v>0.46076759264650796</v>
      </c>
      <c r="I1589" s="1">
        <f t="shared" si="975"/>
        <v>0.46076759264650796</v>
      </c>
      <c r="J1589" s="1">
        <f t="shared" si="975"/>
        <v>0.46076759264650702</v>
      </c>
      <c r="K1589" s="1">
        <f t="shared" si="975"/>
        <v>0.46076759264650752</v>
      </c>
    </row>
    <row r="1590" spans="2:11" x14ac:dyDescent="0.25">
      <c r="B1590" t="str">
        <f t="shared" si="973"/>
        <v>SPS4</v>
      </c>
      <c r="C1590" t="str">
        <f t="shared" si="953"/>
        <v>CH</v>
      </c>
      <c r="D1590" t="s">
        <v>1576</v>
      </c>
      <c r="E1590" t="s">
        <v>1577</v>
      </c>
      <c r="F1590" s="1">
        <f>IFERROR(F1580/F1570,"-")</f>
        <v>0.32057692743518035</v>
      </c>
      <c r="G1590" s="1">
        <f t="shared" ref="G1590:K1590" si="976">IFERROR(G1580/G1570,"-")</f>
        <v>0.3205769274351794</v>
      </c>
      <c r="H1590" s="1">
        <f t="shared" si="976"/>
        <v>0.32057692743517996</v>
      </c>
      <c r="I1590" s="1">
        <f t="shared" si="976"/>
        <v>0.32057692743518035</v>
      </c>
      <c r="J1590" s="1">
        <f t="shared" si="976"/>
        <v>0.32057692743518001</v>
      </c>
      <c r="K1590" s="1">
        <f t="shared" si="976"/>
        <v>0.3205769274351799</v>
      </c>
    </row>
    <row r="1591" spans="2:11" x14ac:dyDescent="0.25">
      <c r="B1591" s="2" t="str">
        <f t="shared" si="973"/>
        <v>SPS4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24.512982288937543</v>
      </c>
      <c r="G1591" s="3">
        <f t="shared" ref="G1591" si="977">G1592+G1595+G1597+G1604+G1612</f>
        <v>21.339091284139059</v>
      </c>
      <c r="H1591" s="3">
        <f t="shared" ref="H1591" si="978">H1592+H1595+H1597+H1604+H1612</f>
        <v>19.141655726605965</v>
      </c>
      <c r="I1591" s="3">
        <f t="shared" ref="I1591" si="979">I1592+I1595+I1597+I1604+I1612</f>
        <v>16.401324079085789</v>
      </c>
      <c r="J1591" s="3">
        <f t="shared" ref="J1591" si="980">J1592+J1595+J1597+J1604+J1612</f>
        <v>15.365273277853351</v>
      </c>
      <c r="K1591" s="3">
        <f t="shared" ref="K1591" si="981">K1592+K1595+K1597+K1604+K1612</f>
        <v>16.611650313286244</v>
      </c>
    </row>
    <row r="1592" spans="2:11" x14ac:dyDescent="0.25">
      <c r="B1592" t="str">
        <f t="shared" si="973"/>
        <v>SPS4</v>
      </c>
      <c r="C1592" t="str">
        <f t="shared" ref="C1592:C1637" si="982">C1591</f>
        <v>CH</v>
      </c>
      <c r="D1592" t="s">
        <v>1598</v>
      </c>
      <c r="E1592" t="str">
        <f>E1591</f>
        <v>PJ/yr.</v>
      </c>
      <c r="F1592" s="1">
        <f>SUM(F1593:F1594)</f>
        <v>9.9335479798593404E-3</v>
      </c>
      <c r="G1592" s="1">
        <f t="shared" ref="G1592" si="983">SUM(G1593:G1594)</f>
        <v>2.0633382168415856E-2</v>
      </c>
      <c r="H1592" s="1">
        <f t="shared" ref="H1592" si="984">SUM(H1593:H1594)</f>
        <v>2.0725185478294491E-2</v>
      </c>
      <c r="I1592" s="1">
        <f t="shared" ref="I1592" si="985">SUM(I1593:I1594)</f>
        <v>5.5227342010180421E-3</v>
      </c>
      <c r="J1592" s="1">
        <f t="shared" ref="J1592" si="986">SUM(J1593:J1594)</f>
        <v>4.424771429473164E-4</v>
      </c>
      <c r="K1592" s="1">
        <f t="shared" ref="K1592" si="987">SUM(K1593:K1594)</f>
        <v>2.1308760036141991E-4</v>
      </c>
    </row>
    <row r="1593" spans="2:11" x14ac:dyDescent="0.25">
      <c r="B1593" t="str">
        <f t="shared" si="973"/>
        <v>SPS4</v>
      </c>
      <c r="C1593" t="str">
        <f t="shared" si="982"/>
        <v>CH</v>
      </c>
      <c r="D1593" t="s">
        <v>1599</v>
      </c>
      <c r="E1593" t="str">
        <f t="shared" ref="E1593:E1617" si="988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973"/>
        <v>SPS4</v>
      </c>
      <c r="C1594" t="str">
        <f t="shared" si="982"/>
        <v>CH</v>
      </c>
      <c r="D1594" t="s">
        <v>1600</v>
      </c>
      <c r="E1594" t="str">
        <f t="shared" si="988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9.9335479798593404E-3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2.0633382168415856E-2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2.0725185478294491E-2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5.5227342010180421E-3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4.424771429473164E-4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2.1308760036141991E-4</v>
      </c>
    </row>
    <row r="1595" spans="2:11" x14ac:dyDescent="0.25">
      <c r="B1595" t="str">
        <f t="shared" si="973"/>
        <v>SPS4</v>
      </c>
      <c r="C1595" t="str">
        <f t="shared" si="982"/>
        <v>CH</v>
      </c>
      <c r="D1595" t="s">
        <v>1601</v>
      </c>
      <c r="E1595" t="str">
        <f t="shared" si="988"/>
        <v>PJ/yr.</v>
      </c>
      <c r="F1595" s="1">
        <f>F1596</f>
        <v>2.6434169507568031E-3</v>
      </c>
      <c r="G1595" s="1">
        <f t="shared" ref="G1595" si="989">G1596</f>
        <v>1.0531996091400573E-3</v>
      </c>
      <c r="H1595" s="1">
        <f t="shared" ref="H1595" si="990">H1596</f>
        <v>1.0050864757491517E-3</v>
      </c>
      <c r="I1595" s="1">
        <f t="shared" ref="I1595" si="991">I1596</f>
        <v>2.1060147217644151E-4</v>
      </c>
      <c r="J1595" s="1">
        <f t="shared" ref="J1595" si="992">J1596</f>
        <v>8.0611120556584091E-4</v>
      </c>
      <c r="K1595" s="1">
        <f t="shared" ref="K1595" si="993">K1596</f>
        <v>7.7402157414537876E-4</v>
      </c>
    </row>
    <row r="1596" spans="2:11" x14ac:dyDescent="0.25">
      <c r="B1596" t="str">
        <f t="shared" si="973"/>
        <v>SPS4</v>
      </c>
      <c r="C1596" t="str">
        <f t="shared" si="982"/>
        <v>CH</v>
      </c>
      <c r="D1596" t="s">
        <v>1602</v>
      </c>
      <c r="E1596" t="str">
        <f t="shared" si="988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2.6434169507568031E-3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1.0531996091400573E-3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1.0050864757491517E-3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2.1060147217644151E-4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8.0611120556584091E-4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7.7402157414537876E-4</v>
      </c>
    </row>
    <row r="1597" spans="2:11" x14ac:dyDescent="0.25">
      <c r="B1597" t="str">
        <f t="shared" si="973"/>
        <v>SPS4</v>
      </c>
      <c r="C1597" t="str">
        <f t="shared" si="982"/>
        <v>CH</v>
      </c>
      <c r="D1597" t="s">
        <v>1603</v>
      </c>
      <c r="E1597" t="str">
        <f t="shared" si="988"/>
        <v>PJ/yr.</v>
      </c>
      <c r="F1597" s="1">
        <f>SUM(F1602:F1603)</f>
        <v>0</v>
      </c>
      <c r="G1597" s="1">
        <f t="shared" ref="G1597:K1597" si="994">SUM(G1602:G1603)</f>
        <v>0</v>
      </c>
      <c r="H1597" s="1">
        <f t="shared" si="994"/>
        <v>0</v>
      </c>
      <c r="I1597" s="1">
        <f t="shared" si="994"/>
        <v>0</v>
      </c>
      <c r="J1597" s="1">
        <f t="shared" si="994"/>
        <v>0</v>
      </c>
      <c r="K1597" s="1">
        <f t="shared" si="994"/>
        <v>0</v>
      </c>
    </row>
    <row r="1598" spans="2:11" x14ac:dyDescent="0.25">
      <c r="B1598" t="str">
        <f t="shared" si="973"/>
        <v>SPS4</v>
      </c>
      <c r="C1598" t="str">
        <f t="shared" si="982"/>
        <v>CH</v>
      </c>
      <c r="D1598" t="s">
        <v>1604</v>
      </c>
      <c r="E1598" t="str">
        <f t="shared" si="988"/>
        <v>PJ/yr.</v>
      </c>
      <c r="F1598" s="1">
        <f>F1597-F1599</f>
        <v>0</v>
      </c>
      <c r="G1598" s="1">
        <f t="shared" ref="G1598:K1598" si="995">G1597-G1599</f>
        <v>0</v>
      </c>
      <c r="H1598" s="1">
        <f t="shared" si="995"/>
        <v>0</v>
      </c>
      <c r="I1598" s="1">
        <f t="shared" si="995"/>
        <v>0</v>
      </c>
      <c r="J1598" s="1">
        <f t="shared" si="995"/>
        <v>0</v>
      </c>
      <c r="K1598" s="1">
        <f t="shared" si="995"/>
        <v>0</v>
      </c>
    </row>
    <row r="1599" spans="2:11" x14ac:dyDescent="0.25">
      <c r="B1599" t="str">
        <f t="shared" si="973"/>
        <v>SPS4</v>
      </c>
      <c r="C1599" t="str">
        <f t="shared" si="982"/>
        <v>CH</v>
      </c>
      <c r="D1599" t="s">
        <v>1605</v>
      </c>
      <c r="E1599" t="str">
        <f t="shared" si="988"/>
        <v>PJ/yr.</v>
      </c>
      <c r="F1599" s="1">
        <f>SUM(F1600:F1601)</f>
        <v>0</v>
      </c>
      <c r="G1599" s="1">
        <f t="shared" ref="G1599:K1599" si="996">SUM(G1600:G1601)</f>
        <v>0</v>
      </c>
      <c r="H1599" s="1">
        <f t="shared" si="996"/>
        <v>0</v>
      </c>
      <c r="I1599" s="1">
        <f t="shared" si="996"/>
        <v>0</v>
      </c>
      <c r="J1599" s="1">
        <f t="shared" si="996"/>
        <v>0</v>
      </c>
      <c r="K1599" s="1">
        <f t="shared" si="996"/>
        <v>0</v>
      </c>
    </row>
    <row r="1600" spans="2:11" x14ac:dyDescent="0.25">
      <c r="B1600" t="str">
        <f t="shared" si="973"/>
        <v>SPS4</v>
      </c>
      <c r="C1600" t="str">
        <f t="shared" si="982"/>
        <v>CH</v>
      </c>
      <c r="D1600" t="s">
        <v>1606</v>
      </c>
      <c r="E1600" t="str">
        <f t="shared" si="988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973"/>
        <v>SPS4</v>
      </c>
      <c r="C1601" t="str">
        <f t="shared" si="982"/>
        <v>CH</v>
      </c>
      <c r="D1601" t="s">
        <v>1607</v>
      </c>
      <c r="E1601" t="str">
        <f t="shared" si="988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973"/>
        <v>SPS4</v>
      </c>
      <c r="C1602" t="str">
        <f t="shared" si="982"/>
        <v>CH</v>
      </c>
      <c r="D1602" t="s">
        <v>1608</v>
      </c>
      <c r="E1602" t="str">
        <f t="shared" si="988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973"/>
        <v>SPS4</v>
      </c>
      <c r="C1603" t="str">
        <f t="shared" si="982"/>
        <v>CH</v>
      </c>
      <c r="D1603" t="s">
        <v>1609</v>
      </c>
      <c r="E1603" t="str">
        <f t="shared" si="988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973"/>
        <v>SPS4</v>
      </c>
      <c r="C1604" t="str">
        <f t="shared" si="982"/>
        <v>CH</v>
      </c>
      <c r="D1604" t="s">
        <v>1610</v>
      </c>
      <c r="E1604" t="str">
        <f t="shared" si="988"/>
        <v>PJ/yr.</v>
      </c>
      <c r="F1604" s="1">
        <f>SUM(F1609:F1611)</f>
        <v>24.437766366536394</v>
      </c>
      <c r="G1604" s="1">
        <f t="shared" ref="G1604:K1604" si="997">SUM(G1609:G1611)</f>
        <v>21.316650487212819</v>
      </c>
      <c r="H1604" s="1">
        <f t="shared" si="997"/>
        <v>19.119145595800234</v>
      </c>
      <c r="I1604" s="1">
        <f t="shared" si="997"/>
        <v>16.394826109639109</v>
      </c>
      <c r="J1604" s="1">
        <f t="shared" si="997"/>
        <v>15.363324808458243</v>
      </c>
      <c r="K1604" s="1">
        <f t="shared" si="997"/>
        <v>16.610000199808436</v>
      </c>
    </row>
    <row r="1605" spans="2:11" x14ac:dyDescent="0.25">
      <c r="B1605" t="str">
        <f t="shared" si="973"/>
        <v>SPS4</v>
      </c>
      <c r="C1605" t="str">
        <f t="shared" si="982"/>
        <v>CH</v>
      </c>
      <c r="D1605" t="s">
        <v>1611</v>
      </c>
      <c r="E1605" t="str">
        <f t="shared" si="988"/>
        <v>PJ/yr.</v>
      </c>
      <c r="F1605" s="1">
        <f>F1604-F1606</f>
        <v>23.833913142557698</v>
      </c>
      <c r="G1605" s="1">
        <f t="shared" ref="G1605:K1605" si="998">G1604-G1606</f>
        <v>20.739672119276516</v>
      </c>
      <c r="H1605" s="1">
        <f t="shared" si="998"/>
        <v>18.482802057720253</v>
      </c>
      <c r="I1605" s="1">
        <f t="shared" si="998"/>
        <v>15.767067880487557</v>
      </c>
      <c r="J1605" s="1">
        <f t="shared" si="998"/>
        <v>14.934458730054805</v>
      </c>
      <c r="K1605" s="1">
        <f t="shared" si="998"/>
        <v>16.173569295028713</v>
      </c>
    </row>
    <row r="1606" spans="2:11" x14ac:dyDescent="0.25">
      <c r="B1606" t="str">
        <f t="shared" si="973"/>
        <v>SPS4</v>
      </c>
      <c r="C1606" t="str">
        <f t="shared" si="982"/>
        <v>CH</v>
      </c>
      <c r="D1606" t="s">
        <v>1612</v>
      </c>
      <c r="E1606" t="str">
        <f t="shared" si="988"/>
        <v>PJ/yr.</v>
      </c>
      <c r="F1606" s="1">
        <f>SUM(F1607:F1608)</f>
        <v>0.6038532239786959</v>
      </c>
      <c r="G1606" s="1">
        <f t="shared" ref="G1606:K1606" si="999">SUM(G1607:G1608)</f>
        <v>0.57697836793630319</v>
      </c>
      <c r="H1606" s="1">
        <f t="shared" si="999"/>
        <v>0.63634353807997979</v>
      </c>
      <c r="I1606" s="1">
        <f t="shared" si="999"/>
        <v>0.62775822915155077</v>
      </c>
      <c r="J1606" s="1">
        <f t="shared" si="999"/>
        <v>0.42886607840343721</v>
      </c>
      <c r="K1606" s="1">
        <f t="shared" si="999"/>
        <v>0.43643090477972224</v>
      </c>
    </row>
    <row r="1607" spans="2:11" x14ac:dyDescent="0.25">
      <c r="B1607" t="str">
        <f t="shared" si="973"/>
        <v>SPS4</v>
      </c>
      <c r="C1607" t="str">
        <f t="shared" si="982"/>
        <v>CH</v>
      </c>
      <c r="D1607" t="s">
        <v>1613</v>
      </c>
      <c r="E1607" t="str">
        <f t="shared" si="988"/>
        <v>PJ/yr.</v>
      </c>
      <c r="F1607" s="1">
        <f>[1]Transport!B$26/SUM([1]Transport!B$22,[1]Transport!B$26)*F1604*(F$33+F$580)/(F$33+F$580+F$36)</f>
        <v>0.6038532239786959</v>
      </c>
      <c r="G1607" s="1">
        <f>[1]Transport!C$26/SUM([1]Transport!C$22,[1]Transport!C$26)*G1604*(G$33+G$580)/(G$33+G$580+G$36)</f>
        <v>0.57697836793630319</v>
      </c>
      <c r="H1607" s="1">
        <f>[1]Transport!D$26/SUM([1]Transport!D$22,[1]Transport!D$26)*H1604*(H$33+H$580)/(H$33+H$580+H$36)</f>
        <v>0.63634353807997979</v>
      </c>
      <c r="I1607" s="1">
        <f>[1]Transport!E$26/SUM([1]Transport!E$22,[1]Transport!E$26)*I1604*(I$33+I$580)/(I$33+I$580+I$36)</f>
        <v>0.62775822915155077</v>
      </c>
      <c r="J1607" s="1">
        <f>[1]Transport!F$26/SUM([1]Transport!F$22,[1]Transport!F$26)*J1604*(J$33+J$580)/(J$33+J$580+J$36)</f>
        <v>0.3116899940549252</v>
      </c>
      <c r="K1607" s="1">
        <f>[1]Transport!G$26/SUM([1]Transport!G$22,[1]Transport!G$26)*K1604*(K$33+K$580)/(K$33+K$580+K$36)</f>
        <v>0.43641182884532298</v>
      </c>
    </row>
    <row r="1608" spans="2:11" x14ac:dyDescent="0.25">
      <c r="B1608" t="str">
        <f t="shared" si="973"/>
        <v>SPS4</v>
      </c>
      <c r="C1608" t="str">
        <f t="shared" si="982"/>
        <v>CH</v>
      </c>
      <c r="D1608" t="s">
        <v>1614</v>
      </c>
      <c r="E1608" t="str">
        <f t="shared" si="988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0.11717608434851201</v>
      </c>
      <c r="K1608" s="1">
        <f>(K$36+K$716)/([1]Transport!G$22+[1]Transport!G$26)*K1604</f>
        <v>1.9075934399270309E-5</v>
      </c>
    </row>
    <row r="1609" spans="2:11" x14ac:dyDescent="0.25">
      <c r="B1609" t="str">
        <f t="shared" si="973"/>
        <v>SPS4</v>
      </c>
      <c r="C1609" t="str">
        <f t="shared" si="982"/>
        <v>CH</v>
      </c>
      <c r="D1609" t="s">
        <v>1615</v>
      </c>
      <c r="E1609" t="str">
        <f t="shared" si="988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19.239075352247855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15.923695679067132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11.44130506106629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4.8579385301767841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973"/>
        <v>SPS4</v>
      </c>
      <c r="C1610" t="str">
        <f t="shared" si="982"/>
        <v>CH</v>
      </c>
      <c r="D1610" t="s">
        <v>1616</v>
      </c>
      <c r="E1610" t="str">
        <f t="shared" si="988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5.1986910142885394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1.9820624986887302E-3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2.9767912494301531E-3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2.4123830070394395E-3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1.8709138629776452E-3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5.784520366506321E-4</v>
      </c>
    </row>
    <row r="1611" spans="2:11" x14ac:dyDescent="0.25">
      <c r="B1611" t="str">
        <f t="shared" si="973"/>
        <v>SPS4</v>
      </c>
      <c r="C1611" t="str">
        <f t="shared" si="982"/>
        <v>CH</v>
      </c>
      <c r="D1611" t="s">
        <v>1617</v>
      </c>
      <c r="E1611" t="str">
        <f t="shared" si="988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5.3909727456469962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7.6748637434845124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11.534475196455285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15.361453894595265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16.609421747771787</v>
      </c>
    </row>
    <row r="1612" spans="2:11" x14ac:dyDescent="0.25">
      <c r="B1612" t="str">
        <f t="shared" si="973"/>
        <v>SPS4</v>
      </c>
      <c r="C1612" t="str">
        <f t="shared" si="982"/>
        <v>CH</v>
      </c>
      <c r="D1612" t="s">
        <v>1618</v>
      </c>
      <c r="E1612" t="str">
        <f t="shared" si="988"/>
        <v>PJ/yr.</v>
      </c>
      <c r="F1612" s="1">
        <f>F1617</f>
        <v>6.2638957470533413E-2</v>
      </c>
      <c r="G1612" s="1">
        <f t="shared" ref="G1612:K1612" si="1000">G1617</f>
        <v>7.5421514868528048E-4</v>
      </c>
      <c r="H1612" s="1">
        <f t="shared" si="1000"/>
        <v>7.798588516851558E-4</v>
      </c>
      <c r="I1612" s="1">
        <f t="shared" si="1000"/>
        <v>7.6463377348633046E-4</v>
      </c>
      <c r="J1612" s="1">
        <f t="shared" si="1000"/>
        <v>6.9988104659528543E-4</v>
      </c>
      <c r="K1612" s="1">
        <f t="shared" si="1000"/>
        <v>6.6300430330028704E-4</v>
      </c>
    </row>
    <row r="1613" spans="2:11" x14ac:dyDescent="0.25">
      <c r="B1613" t="str">
        <f t="shared" si="973"/>
        <v>SPS4</v>
      </c>
      <c r="C1613" t="str">
        <f t="shared" si="982"/>
        <v>CH</v>
      </c>
      <c r="D1613" t="s">
        <v>1619</v>
      </c>
      <c r="E1613" t="str">
        <f t="shared" si="988"/>
        <v>PJ/yr.</v>
      </c>
      <c r="F1613" s="1">
        <f>F1612-F1614</f>
        <v>5.7909852887674557E-2</v>
      </c>
      <c r="G1613" s="1">
        <f t="shared" ref="G1613:K1613" si="1001">G1612-G1614</f>
        <v>6.8105874477791145E-4</v>
      </c>
      <c r="H1613" s="1">
        <f t="shared" si="1001"/>
        <v>7.0983574274996247E-4</v>
      </c>
      <c r="I1613" s="1">
        <f t="shared" si="1001"/>
        <v>7.6454991677034258E-4</v>
      </c>
      <c r="J1613" s="1">
        <f t="shared" si="1001"/>
        <v>-0.25542082576029734</v>
      </c>
      <c r="K1613" s="1">
        <f t="shared" si="1001"/>
        <v>-1.1903828875442941</v>
      </c>
    </row>
    <row r="1614" spans="2:11" x14ac:dyDescent="0.25">
      <c r="B1614" t="str">
        <f t="shared" si="973"/>
        <v>SPS4</v>
      </c>
      <c r="C1614" t="str">
        <f t="shared" si="982"/>
        <v>CH</v>
      </c>
      <c r="D1614" t="s">
        <v>1620</v>
      </c>
      <c r="E1614" t="str">
        <f t="shared" si="988"/>
        <v>PJ/yr.</v>
      </c>
      <c r="F1614" s="1">
        <f>SUM(F1615:F1616)</f>
        <v>4.7291045828588554E-3</v>
      </c>
      <c r="G1614" s="1">
        <f t="shared" ref="G1614:K1614" si="1002">SUM(G1615:G1616)</f>
        <v>7.3156403907369074E-5</v>
      </c>
      <c r="H1614" s="1">
        <f t="shared" si="1002"/>
        <v>7.0023108935193348E-5</v>
      </c>
      <c r="I1614" s="1">
        <f t="shared" si="1002"/>
        <v>8.3856715987882568E-8</v>
      </c>
      <c r="J1614" s="1">
        <f t="shared" si="1002"/>
        <v>0.25612070680689264</v>
      </c>
      <c r="K1614" s="1">
        <f t="shared" si="1002"/>
        <v>1.1910458918475944</v>
      </c>
    </row>
    <row r="1615" spans="2:11" x14ac:dyDescent="0.25">
      <c r="B1615" t="str">
        <f t="shared" si="973"/>
        <v>SPS4</v>
      </c>
      <c r="C1615" t="str">
        <f t="shared" si="982"/>
        <v>CH</v>
      </c>
      <c r="D1615" t="s">
        <v>1621</v>
      </c>
      <c r="E1615" t="str">
        <f t="shared" si="988"/>
        <v>PJ/yr.</v>
      </c>
      <c r="F1615" s="1">
        <f>[1]Transport!B$27/SUM([1]Transport!B$24,[1]Transport!B$27)*F1612*(F$45+F$612)/(F$45+F$612+F$47)</f>
        <v>4.7291045828588554E-3</v>
      </c>
      <c r="G1615" s="1">
        <f>[1]Transport!C$27/SUM([1]Transport!C$24,[1]Transport!C$27)*G1612*(G$45+G$612)/(G$45+G$612+G$47)</f>
        <v>7.3156403907369074E-5</v>
      </c>
      <c r="H1615" s="1">
        <f>[1]Transport!D$27/SUM([1]Transport!D$24,[1]Transport!D$27)*H1612*(H$45+H$612)/(H$45+H$612+H$47)</f>
        <v>7.0023108935193348E-5</v>
      </c>
      <c r="I1615" s="1">
        <f>[1]Transport!E$27/SUM([1]Transport!E$24,[1]Transport!E$27)*I1612*(I$45+I$612)/(I$45+I$612+I$47)</f>
        <v>8.3856715987882568E-8</v>
      </c>
      <c r="J1615" s="1">
        <f>[1]Transport!F$27/SUM([1]Transport!F$24,[1]Transport!F$27)*J1612*(J$45+J$612)/(J$45+J$612+J$47)</f>
        <v>2.3043355562268243E-5</v>
      </c>
      <c r="K1615" s="1">
        <f>[1]Transport!G$27/SUM([1]Transport!G$24,[1]Transport!G$27)*K1612*(K$45+K$612)/(K$45+K$612+K$47)</f>
        <v>1.117928181356492E-5</v>
      </c>
    </row>
    <row r="1616" spans="2:11" x14ac:dyDescent="0.25">
      <c r="B1616" t="str">
        <f t="shared" si="973"/>
        <v>SPS4</v>
      </c>
      <c r="C1616" t="str">
        <f t="shared" si="982"/>
        <v>CH</v>
      </c>
      <c r="D1616" t="s">
        <v>1622</v>
      </c>
      <c r="E1616" t="str">
        <f t="shared" si="988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0.25609766345133039</v>
      </c>
      <c r="K1616" s="1">
        <f>(K$47+K$714)/([1]Transport!G$24+[1]Transport!G$27)*K1612</f>
        <v>1.1910347125657808</v>
      </c>
    </row>
    <row r="1617" spans="2:11" x14ac:dyDescent="0.25">
      <c r="B1617" t="str">
        <f t="shared" si="973"/>
        <v>SPS4</v>
      </c>
      <c r="C1617" t="str">
        <f t="shared" si="982"/>
        <v>CH</v>
      </c>
      <c r="D1617" t="s">
        <v>1623</v>
      </c>
      <c r="E1617" t="str">
        <f t="shared" si="988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6.2638957470533413E-2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7.5421514868528048E-4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7.798588516851558E-4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7.6463377348633046E-4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6.9988104659528543E-4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6.6300430330028704E-4</v>
      </c>
    </row>
    <row r="1618" spans="2:11" x14ac:dyDescent="0.25">
      <c r="B1618" s="2" t="str">
        <f t="shared" si="973"/>
        <v>SPS4</v>
      </c>
      <c r="C1618" s="2" t="str">
        <f t="shared" si="982"/>
        <v>CH</v>
      </c>
      <c r="D1618" s="2" t="s">
        <v>1624</v>
      </c>
      <c r="E1618" s="2" t="s">
        <v>1518</v>
      </c>
      <c r="F1618" s="3">
        <f>SUM(F1619:F1627)</f>
        <v>2.2034119820847868</v>
      </c>
      <c r="G1618" s="3">
        <f t="shared" ref="G1618" si="1003">SUM(G1619:G1627)</f>
        <v>2.2248472225999696</v>
      </c>
      <c r="H1618" s="3">
        <f t="shared" ref="H1618" si="1004">SUM(H1619:H1627)</f>
        <v>2.256885244600757</v>
      </c>
      <c r="I1618" s="3">
        <f t="shared" ref="I1618" si="1005">SUM(I1619:I1627)</f>
        <v>2.3103576934550079</v>
      </c>
      <c r="J1618" s="3">
        <f t="shared" ref="J1618" si="1006">SUM(J1619:J1627)</f>
        <v>2.5116947395668636</v>
      </c>
      <c r="K1618" s="3">
        <f t="shared" ref="K1618" si="1007">SUM(K1619:K1627)</f>
        <v>2.7154825120228505</v>
      </c>
    </row>
    <row r="1619" spans="2:11" x14ac:dyDescent="0.25">
      <c r="B1619" t="str">
        <f t="shared" si="973"/>
        <v>SPS4</v>
      </c>
      <c r="C1619" t="str">
        <f t="shared" si="982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973"/>
        <v>SPS4</v>
      </c>
      <c r="C1620" t="str">
        <f t="shared" si="982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2.6694201388574156E-3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5.573974630325604E-3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5.6083639522535285E-3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1.5132392046298066E-3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1.3832921327194974E-4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7.1208049780433112E-5</v>
      </c>
    </row>
    <row r="1621" spans="2:11" x14ac:dyDescent="0.25">
      <c r="B1621" t="str">
        <f t="shared" si="973"/>
        <v>SPS4</v>
      </c>
      <c r="C1621" t="str">
        <f t="shared" si="982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4.6116716739615186E-4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1.8438522333082697E-4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1.7606593658655616E-4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3.7308369391927232E-5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1.6295098649124994E-4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1.6740399000483264E-4</v>
      </c>
    </row>
    <row r="1622" spans="2:11" x14ac:dyDescent="0.25">
      <c r="B1622" t="str">
        <f t="shared" si="973"/>
        <v>SPS4</v>
      </c>
      <c r="C1622" t="str">
        <f t="shared" si="982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973"/>
        <v>SPS4</v>
      </c>
      <c r="C1623" t="str">
        <f t="shared" si="982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973"/>
        <v>SPS4</v>
      </c>
      <c r="C1624" t="str">
        <f t="shared" si="982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1.5767126761416983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1.3375300960386018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0.99608040455048352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0.42293229230345358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973"/>
        <v>SPS4</v>
      </c>
      <c r="C1625" t="str">
        <f t="shared" si="982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0.61710289658979856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2.3527778546581299E-4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3.5335558461112142E-4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2.8635834236664671E-4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2.2208405172383905E-4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6.8664289986510192E-5</v>
      </c>
    </row>
    <row r="1626" spans="2:11" x14ac:dyDescent="0.25">
      <c r="B1626" t="str">
        <f t="shared" si="973"/>
        <v>SPS4</v>
      </c>
      <c r="C1626" t="str">
        <f t="shared" si="982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0.88124534447033098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1.2545858164189518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1.8855043509526781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2.5110885117789725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2.7150898882556866</v>
      </c>
    </row>
    <row r="1627" spans="2:11" x14ac:dyDescent="0.25">
      <c r="B1627" t="str">
        <f t="shared" si="973"/>
        <v>SPS4</v>
      </c>
      <c r="C1627" t="str">
        <f t="shared" si="982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6.4658220470367707E-3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7.8144451914699702E-5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8.123815787051329E-5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8.4144282487773122E-5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8.2863536404272938E-5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8.5347437392135404E-5</v>
      </c>
    </row>
    <row r="1628" spans="2:11" x14ac:dyDescent="0.25">
      <c r="B1628" s="2" t="str">
        <f t="shared" si="973"/>
        <v>SPS4</v>
      </c>
      <c r="C1628" s="2" t="str">
        <f t="shared" si="982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973"/>
        <v>SPS4</v>
      </c>
      <c r="C1629" t="str">
        <f t="shared" si="982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08">IFERROR(G1619/G1593,"-")</f>
        <v>-</v>
      </c>
      <c r="H1629" s="1" t="str">
        <f t="shared" si="1008"/>
        <v>-</v>
      </c>
      <c r="I1629" s="1" t="str">
        <f t="shared" si="1008"/>
        <v>-</v>
      </c>
      <c r="J1629" s="1" t="str">
        <f t="shared" si="1008"/>
        <v>-</v>
      </c>
      <c r="K1629" s="1" t="str">
        <f t="shared" si="1008"/>
        <v>-</v>
      </c>
    </row>
    <row r="1630" spans="2:11" x14ac:dyDescent="0.25">
      <c r="B1630" t="str">
        <f t="shared" si="973"/>
        <v>SPS4</v>
      </c>
      <c r="C1630" t="str">
        <f t="shared" si="982"/>
        <v>CH</v>
      </c>
      <c r="D1630" t="s">
        <v>1636</v>
      </c>
      <c r="E1630" t="str">
        <f t="shared" ref="E1630:E1637" si="1009">E1629</f>
        <v>km/MJ</v>
      </c>
      <c r="F1630" s="1">
        <f>IFERROR(F1620/F1594,"-")</f>
        <v>0.268727764165409</v>
      </c>
      <c r="G1630" s="1">
        <f t="shared" ref="G1630:K1630" si="1010">IFERROR(G1620/G1594,"-")</f>
        <v>0.27014352687451582</v>
      </c>
      <c r="H1630" s="1">
        <f t="shared" si="1010"/>
        <v>0.27060621281904446</v>
      </c>
      <c r="I1630" s="1">
        <f t="shared" si="1010"/>
        <v>0.27400181677236274</v>
      </c>
      <c r="J1630" s="1">
        <f t="shared" si="1010"/>
        <v>0.31262453999441936</v>
      </c>
      <c r="K1630" s="1">
        <f t="shared" si="1010"/>
        <v>0.33417265790996969</v>
      </c>
    </row>
    <row r="1631" spans="2:11" x14ac:dyDescent="0.25">
      <c r="B1631" t="str">
        <f t="shared" si="973"/>
        <v>SPS4</v>
      </c>
      <c r="C1631" t="str">
        <f t="shared" si="982"/>
        <v>CH</v>
      </c>
      <c r="D1631" t="s">
        <v>1637</v>
      </c>
      <c r="E1631" t="str">
        <f t="shared" si="1009"/>
        <v>km/MJ</v>
      </c>
      <c r="F1631" s="1">
        <f>IFERROR(F1621/F1596,"-")</f>
        <v>0.17445873125089892</v>
      </c>
      <c r="G1631" s="1">
        <f t="shared" ref="G1631:K1631" si="1011">IFERROR(G1621/G1596,"-")</f>
        <v>0.17507148856746957</v>
      </c>
      <c r="H1631" s="1">
        <f t="shared" si="1011"/>
        <v>0.17517491363648444</v>
      </c>
      <c r="I1631" s="1">
        <f t="shared" si="1011"/>
        <v>0.17715151279033012</v>
      </c>
      <c r="J1631" s="1">
        <f t="shared" si="1011"/>
        <v>0.20214454949409652</v>
      </c>
      <c r="K1631" s="1">
        <f t="shared" si="1011"/>
        <v>0.21627819636638498</v>
      </c>
    </row>
    <row r="1632" spans="2:11" x14ac:dyDescent="0.25">
      <c r="B1632" t="str">
        <f t="shared" si="973"/>
        <v>SPS4</v>
      </c>
      <c r="C1632" t="str">
        <f t="shared" si="982"/>
        <v>CH</v>
      </c>
      <c r="D1632" t="s">
        <v>1638</v>
      </c>
      <c r="E1632" t="str">
        <f t="shared" si="1009"/>
        <v>km/MJ</v>
      </c>
      <c r="F1632" s="1" t="str">
        <f>IFERROR(F1622/F1602,"-")</f>
        <v>-</v>
      </c>
      <c r="G1632" s="1" t="str">
        <f t="shared" ref="G1632:K1632" si="1012">IFERROR(G1622/G1602,"-")</f>
        <v>-</v>
      </c>
      <c r="H1632" s="1" t="str">
        <f t="shared" si="1012"/>
        <v>-</v>
      </c>
      <c r="I1632" s="1" t="str">
        <f t="shared" si="1012"/>
        <v>-</v>
      </c>
      <c r="J1632" s="1" t="str">
        <f t="shared" si="1012"/>
        <v>-</v>
      </c>
      <c r="K1632" s="1" t="str">
        <f t="shared" si="1012"/>
        <v>-</v>
      </c>
    </row>
    <row r="1633" spans="2:11" x14ac:dyDescent="0.25">
      <c r="B1633" t="str">
        <f t="shared" si="973"/>
        <v>SPS4</v>
      </c>
      <c r="C1633" t="str">
        <f t="shared" si="982"/>
        <v>CH</v>
      </c>
      <c r="D1633" t="s">
        <v>1639</v>
      </c>
      <c r="E1633" t="str">
        <f t="shared" si="1009"/>
        <v>km/MJ</v>
      </c>
      <c r="F1633" s="1" t="str">
        <f>IFERROR(F1623/F1603,"-")</f>
        <v>-</v>
      </c>
      <c r="G1633" s="1" t="str">
        <f t="shared" ref="G1633:K1633" si="1013">IFERROR(G1623/G1603,"-")</f>
        <v>-</v>
      </c>
      <c r="H1633" s="1" t="str">
        <f t="shared" si="1013"/>
        <v>-</v>
      </c>
      <c r="I1633" s="1" t="str">
        <f t="shared" si="1013"/>
        <v>-</v>
      </c>
      <c r="J1633" s="1" t="str">
        <f t="shared" si="1013"/>
        <v>-</v>
      </c>
      <c r="K1633" s="1" t="str">
        <f t="shared" si="1013"/>
        <v>-</v>
      </c>
    </row>
    <row r="1634" spans="2:11" x14ac:dyDescent="0.25">
      <c r="B1634" t="str">
        <f t="shared" si="973"/>
        <v>SPS4</v>
      </c>
      <c r="C1634" t="str">
        <f t="shared" si="982"/>
        <v>CH</v>
      </c>
      <c r="D1634" t="s">
        <v>1640</v>
      </c>
      <c r="E1634" t="str">
        <f t="shared" si="1009"/>
        <v>km/MJ</v>
      </c>
      <c r="F1634" s="1">
        <f>IFERROR(F1624/F1609,"-")</f>
        <v>8.1953661871669858E-2</v>
      </c>
      <c r="G1634" s="1">
        <f t="shared" ref="G1634:K1634" si="1014">IFERROR(G1624/G1609,"-")</f>
        <v>8.3996210615660247E-2</v>
      </c>
      <c r="H1634" s="1">
        <f t="shared" si="1014"/>
        <v>8.7060033731646017E-2</v>
      </c>
      <c r="I1634" s="1">
        <f t="shared" si="1014"/>
        <v>8.7060033731645989E-2</v>
      </c>
      <c r="J1634" s="1" t="str">
        <f t="shared" si="1014"/>
        <v>-</v>
      </c>
      <c r="K1634" s="1" t="str">
        <f t="shared" si="1014"/>
        <v>-</v>
      </c>
    </row>
    <row r="1635" spans="2:11" x14ac:dyDescent="0.25">
      <c r="B1635" t="str">
        <f t="shared" si="973"/>
        <v>SPS4</v>
      </c>
      <c r="C1635" t="str">
        <f t="shared" si="982"/>
        <v>CH</v>
      </c>
      <c r="D1635" t="s">
        <v>1641</v>
      </c>
      <c r="E1635" t="str">
        <f t="shared" si="1009"/>
        <v>km/MJ</v>
      </c>
      <c r="F1635" s="1">
        <f>IFERROR(F1625/F1610,"-")</f>
        <v>0.11870351496053501</v>
      </c>
      <c r="G1635" s="1">
        <f t="shared" ref="G1635:K1635" si="1015">IFERROR(G1625/G1610,"-")</f>
        <v>0.11870351496053495</v>
      </c>
      <c r="H1635" s="1">
        <f t="shared" si="1015"/>
        <v>0.11870351496053486</v>
      </c>
      <c r="I1635" s="1">
        <f t="shared" si="1015"/>
        <v>0.11870351496053508</v>
      </c>
      <c r="J1635" s="1">
        <f t="shared" si="1015"/>
        <v>0.1187035149605349</v>
      </c>
      <c r="K1635" s="1">
        <f t="shared" si="1015"/>
        <v>0.11870351496053491</v>
      </c>
    </row>
    <row r="1636" spans="2:11" x14ac:dyDescent="0.25">
      <c r="B1636" t="str">
        <f t="shared" si="973"/>
        <v>SPS4</v>
      </c>
      <c r="C1636" t="str">
        <f t="shared" si="982"/>
        <v>CH</v>
      </c>
      <c r="D1636" t="s">
        <v>1642</v>
      </c>
      <c r="E1636" t="str">
        <f t="shared" si="1009"/>
        <v>km/MJ</v>
      </c>
      <c r="F1636" s="1" t="str">
        <f>IFERROR(F1626/F1611,"-")</f>
        <v>-</v>
      </c>
      <c r="G1636" s="1">
        <f t="shared" ref="G1636:K1636" si="1016">IFERROR(G1626/G1611,"-")</f>
        <v>0.16346685209675801</v>
      </c>
      <c r="H1636" s="1">
        <f t="shared" si="1016"/>
        <v>0.16346685209675782</v>
      </c>
      <c r="I1636" s="1">
        <f t="shared" si="1016"/>
        <v>0.16346685209675788</v>
      </c>
      <c r="J1636" s="1">
        <f t="shared" si="1016"/>
        <v>0.16346685209675807</v>
      </c>
      <c r="K1636" s="1">
        <f t="shared" si="1016"/>
        <v>0.16346685209675801</v>
      </c>
    </row>
    <row r="1637" spans="2:11" x14ac:dyDescent="0.25">
      <c r="B1637" t="str">
        <f t="shared" si="973"/>
        <v>SPS4</v>
      </c>
      <c r="C1637" t="str">
        <f t="shared" si="982"/>
        <v>CH</v>
      </c>
      <c r="D1637" t="s">
        <v>1643</v>
      </c>
      <c r="E1637" t="str">
        <f t="shared" si="1009"/>
        <v>km/MJ</v>
      </c>
      <c r="F1637" s="1">
        <f>IFERROR(F1627/F1617,"-")</f>
        <v>0.10322365358775998</v>
      </c>
      <c r="G1637" s="1">
        <f t="shared" ref="G1637:K1637" si="1017">IFERROR(G1627/G1617,"-")</f>
        <v>0.10361029217050091</v>
      </c>
      <c r="H1637" s="1">
        <f t="shared" si="1017"/>
        <v>0.10417033504841298</v>
      </c>
      <c r="I1637" s="1">
        <f t="shared" si="1017"/>
        <v>0.11004520779159305</v>
      </c>
      <c r="J1637" s="1">
        <f t="shared" si="1017"/>
        <v>0.11839660011851952</v>
      </c>
      <c r="K1637" s="1">
        <f t="shared" si="1017"/>
        <v>0.12872833097356226</v>
      </c>
    </row>
    <row r="1638" spans="2:11" x14ac:dyDescent="0.25">
      <c r="B1638" s="2" t="str">
        <f t="shared" si="973"/>
        <v>SPS4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28.743324897657008</v>
      </c>
      <c r="G1638" s="1">
        <f t="shared" ref="G1638:K1638" si="1018">G1639+G1643+G1647+G1653</f>
        <v>25.343640954167498</v>
      </c>
      <c r="H1638" s="1">
        <f t="shared" si="1018"/>
        <v>19.580641477794863</v>
      </c>
      <c r="I1638" s="1">
        <f t="shared" si="1018"/>
        <v>15.769191268289678</v>
      </c>
      <c r="J1638" s="1">
        <f t="shared" si="1018"/>
        <v>28.081148134362557</v>
      </c>
      <c r="K1638" s="1">
        <f t="shared" si="1018"/>
        <v>28.976379769629048</v>
      </c>
    </row>
    <row r="1639" spans="2:11" x14ac:dyDescent="0.25">
      <c r="B1639" t="str">
        <f t="shared" si="973"/>
        <v>SPS4</v>
      </c>
      <c r="C1639" t="str">
        <f t="shared" ref="C1639:C1682" si="1019">C1638</f>
        <v>CH</v>
      </c>
      <c r="D1639" t="s">
        <v>1653</v>
      </c>
      <c r="E1639" t="s">
        <v>8</v>
      </c>
      <c r="F1639" s="1">
        <f>SUM(F1640:F1642)</f>
        <v>9.2070289142960391</v>
      </c>
      <c r="G1639" s="1">
        <f t="shared" ref="G1639:K1639" si="1020">SUM(G1640:G1642)</f>
        <v>11.194429511864946</v>
      </c>
      <c r="H1639" s="1">
        <f t="shared" si="1020"/>
        <v>11.652378151984928</v>
      </c>
      <c r="I1639" s="1">
        <f t="shared" si="1020"/>
        <v>12.304251382068442</v>
      </c>
      <c r="J1639" s="1">
        <f t="shared" si="1020"/>
        <v>11.737511997216448</v>
      </c>
      <c r="K1639" s="1">
        <f t="shared" si="1020"/>
        <v>12.633043566647574</v>
      </c>
    </row>
    <row r="1640" spans="2:11" x14ac:dyDescent="0.25">
      <c r="B1640" t="str">
        <f t="shared" si="973"/>
        <v>SPS4</v>
      </c>
      <c r="C1640" t="str">
        <f t="shared" si="1019"/>
        <v>CH</v>
      </c>
      <c r="D1640" t="s">
        <v>1654</v>
      </c>
      <c r="E1640" t="str">
        <f t="shared" ref="E1640:E1642" si="1021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8.7117810708512575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9.7093024450711596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10.452565949143464</v>
      </c>
    </row>
    <row r="1641" spans="2:11" x14ac:dyDescent="0.25">
      <c r="B1641" t="str">
        <f t="shared" si="973"/>
        <v>SPS4</v>
      </c>
      <c r="C1641" t="str">
        <f t="shared" si="1019"/>
        <v>CH</v>
      </c>
      <c r="D1641" t="s">
        <v>1655</v>
      </c>
      <c r="E1641" t="str">
        <f t="shared" si="1021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1.5023089011950934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1.590388303098764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1.746338890103051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1.8943384375421939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2.028203829816452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2.1804604459674777</v>
      </c>
    </row>
    <row r="1642" spans="2:11" x14ac:dyDescent="0.25">
      <c r="B1642" t="str">
        <f t="shared" si="973"/>
        <v>SPS4</v>
      </c>
      <c r="C1642" t="str">
        <f t="shared" si="1019"/>
        <v>CH</v>
      </c>
      <c r="D1642" t="s">
        <v>1656</v>
      </c>
      <c r="E1642" t="str">
        <f t="shared" si="1021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1.698135771915259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1.6981378095775237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1.69813187367499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5.7223288370963455E-6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1.7171536631613585E-5</v>
      </c>
    </row>
    <row r="1643" spans="2:11" x14ac:dyDescent="0.25">
      <c r="B1643" t="str">
        <f t="shared" si="973"/>
        <v>SPS4</v>
      </c>
      <c r="C1643" t="str">
        <f t="shared" si="1019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22">SUM(G1644:G1646)</f>
        <v>0</v>
      </c>
      <c r="H1643" s="1">
        <f t="shared" si="1022"/>
        <v>0</v>
      </c>
      <c r="I1643" s="1">
        <f t="shared" si="1022"/>
        <v>7.0832335698296488E-6</v>
      </c>
      <c r="J1643" s="1">
        <f t="shared" si="1022"/>
        <v>1.5427710336905321E-5</v>
      </c>
      <c r="K1643" s="1">
        <f t="shared" si="1022"/>
        <v>1.5344902883753569E-5</v>
      </c>
    </row>
    <row r="1644" spans="2:11" x14ac:dyDescent="0.25">
      <c r="B1644" t="str">
        <f t="shared" si="973"/>
        <v>SPS4</v>
      </c>
      <c r="C1644" t="str">
        <f t="shared" si="1019"/>
        <v>CH</v>
      </c>
      <c r="D1644" t="s">
        <v>1658</v>
      </c>
      <c r="E1644" t="str">
        <f t="shared" ref="E1644:E1646" si="1023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6.076822542479351E-6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6.3848583379847745E-6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6.2078375142014969E-6</v>
      </c>
    </row>
    <row r="1645" spans="2:11" x14ac:dyDescent="0.25">
      <c r="B1645" t="str">
        <f t="shared" si="973"/>
        <v>SPS4</v>
      </c>
      <c r="C1645" t="str">
        <f t="shared" si="1019"/>
        <v>CH</v>
      </c>
      <c r="D1645" t="s">
        <v>1659</v>
      </c>
      <c r="E1645" t="str">
        <f t="shared" si="1023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973"/>
        <v>SPS4</v>
      </c>
      <c r="C1646" t="str">
        <f t="shared" si="1019"/>
        <v>CH</v>
      </c>
      <c r="D1646" t="s">
        <v>1660</v>
      </c>
      <c r="E1646" t="str">
        <f t="shared" si="1023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1.0064110273502976E-6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9.0428519989205461E-6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9.1370653695520709E-6</v>
      </c>
    </row>
    <row r="1647" spans="2:11" x14ac:dyDescent="0.25">
      <c r="B1647" t="str">
        <f t="shared" si="973"/>
        <v>SPS4</v>
      </c>
      <c r="C1647" t="str">
        <f t="shared" si="1019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24">G1652</f>
        <v>2.2678241871998137E-6</v>
      </c>
      <c r="H1647" s="1">
        <f t="shared" si="1024"/>
        <v>3.5333279061340654E-5</v>
      </c>
      <c r="I1647" s="1">
        <f t="shared" si="1024"/>
        <v>2.9433749384357619E-5</v>
      </c>
      <c r="J1647" s="1">
        <f t="shared" si="1024"/>
        <v>2.7594958910232197E-5</v>
      </c>
      <c r="K1647" s="1">
        <f t="shared" si="1024"/>
        <v>0</v>
      </c>
    </row>
    <row r="1648" spans="2:11" x14ac:dyDescent="0.25">
      <c r="B1648" t="str">
        <f t="shared" si="973"/>
        <v>SPS4</v>
      </c>
      <c r="C1648" t="str">
        <f t="shared" si="1019"/>
        <v>CH</v>
      </c>
      <c r="D1648" t="s">
        <v>1662</v>
      </c>
      <c r="E1648" t="str">
        <f t="shared" ref="E1648:E1660" si="1025">E1647</f>
        <v>PJ/yr.</v>
      </c>
      <c r="F1648" s="1">
        <f>F1647-F1649</f>
        <v>1.6634752397636967</v>
      </c>
      <c r="G1648" s="1">
        <f t="shared" ref="G1648:K1648" si="1026">G1647-G1649</f>
        <v>2.1436820847788067E-6</v>
      </c>
      <c r="H1648" s="1">
        <f t="shared" si="1026"/>
        <v>3.3398993400815778E-5</v>
      </c>
      <c r="I1648" s="1">
        <f t="shared" si="1026"/>
        <v>2.782250678866414E-5</v>
      </c>
      <c r="J1648" s="1">
        <f t="shared" si="1026"/>
        <v>2.6084290548263427E-5</v>
      </c>
      <c r="K1648" s="1">
        <f t="shared" si="1026"/>
        <v>0</v>
      </c>
    </row>
    <row r="1649" spans="2:11" x14ac:dyDescent="0.25">
      <c r="B1649" t="str">
        <f t="shared" si="973"/>
        <v>SPS4</v>
      </c>
      <c r="C1649" t="str">
        <f t="shared" si="1019"/>
        <v>CH</v>
      </c>
      <c r="D1649" t="s">
        <v>1663</v>
      </c>
      <c r="E1649" t="str">
        <f t="shared" si="1025"/>
        <v>PJ/yr.</v>
      </c>
      <c r="F1649" s="1">
        <f>SUM(F1650:F1651)</f>
        <v>9.6332523964661215E-2</v>
      </c>
      <c r="G1649" s="1">
        <f t="shared" ref="G1649:K1649" si="1027">SUM(G1650:G1651)</f>
        <v>1.2414210242100687E-7</v>
      </c>
      <c r="H1649" s="1">
        <f t="shared" si="1027"/>
        <v>1.9342856605248757E-6</v>
      </c>
      <c r="I1649" s="1">
        <f t="shared" si="1027"/>
        <v>1.6112425956934779E-6</v>
      </c>
      <c r="J1649" s="1">
        <f t="shared" si="1027"/>
        <v>1.510668361968772E-6</v>
      </c>
      <c r="K1649" s="1">
        <f t="shared" si="1027"/>
        <v>0</v>
      </c>
    </row>
    <row r="1650" spans="2:11" x14ac:dyDescent="0.25">
      <c r="B1650" t="str">
        <f t="shared" si="973"/>
        <v>SPS4</v>
      </c>
      <c r="C1650" t="str">
        <f t="shared" si="1019"/>
        <v>CH</v>
      </c>
      <c r="D1650" t="s">
        <v>1664</v>
      </c>
      <c r="E1650" t="str">
        <f t="shared" si="1025"/>
        <v>PJ/yr.</v>
      </c>
      <c r="F1650" s="1">
        <f>[1]Transport!B$25/SUM([1]Transport!B$21,[1]Transport!B$25)*F1647*(F$34+F$598)/(F$34+F$598+F$37)</f>
        <v>9.6332523964661215E-2</v>
      </c>
      <c r="G1650" s="1">
        <f>[1]Transport!C$25/SUM([1]Transport!C$21,[1]Transport!C$25)*G1647*(G$34+G$598)/(G$34+G$598+G$37)</f>
        <v>1.2414210242100687E-7</v>
      </c>
      <c r="H1650" s="1">
        <f>[1]Transport!D$25/SUM([1]Transport!D$21,[1]Transport!D$25)*H1647*(H$34+H$598)/(H$34+H$598+H$37)</f>
        <v>1.9342856605248757E-6</v>
      </c>
      <c r="I1650" s="1">
        <f>[1]Transport!E$25/SUM([1]Transport!E$21,[1]Transport!E$25)*I1647*(I$34+I$598)/(I$34+I$598+I$37)</f>
        <v>1.6112425956934779E-6</v>
      </c>
      <c r="J1650" s="1">
        <f>[1]Transport!F$25/SUM([1]Transport!F$21,[1]Transport!F$25)*J1647*(J$34+J$598)/(J$34+J$598+J$37)</f>
        <v>1.510668361968772E-6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973"/>
        <v>SPS4</v>
      </c>
      <c r="C1651" t="str">
        <f t="shared" si="1019"/>
        <v>CH</v>
      </c>
      <c r="D1651" t="s">
        <v>1665</v>
      </c>
      <c r="E1651" t="str">
        <f t="shared" si="1025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</v>
      </c>
      <c r="K1651" s="1">
        <f>(K$37+K$717)/([1]Transport!G$21+[1]Transport!G$25)*K1647</f>
        <v>0</v>
      </c>
    </row>
    <row r="1652" spans="2:11" x14ac:dyDescent="0.25">
      <c r="B1652" t="str">
        <f t="shared" ref="B1652:B1715" si="1028">B1651</f>
        <v>SPS4</v>
      </c>
      <c r="C1652" t="str">
        <f t="shared" si="1019"/>
        <v>CH</v>
      </c>
      <c r="D1652" t="s">
        <v>1666</v>
      </c>
      <c r="E1652" t="str">
        <f t="shared" si="1025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2.2678241871998137E-6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3.5333279061340654E-5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2.9433749384357619E-5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2.7594958910232197E-5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28"/>
        <v>SPS4</v>
      </c>
      <c r="C1653" t="str">
        <f t="shared" si="1019"/>
        <v>CH</v>
      </c>
      <c r="D1653" t="s">
        <v>1667</v>
      </c>
      <c r="E1653" t="str">
        <f t="shared" si="1025"/>
        <v>PJ/yr.</v>
      </c>
      <c r="F1653" s="1">
        <f>SUM(F1658:F1660)</f>
        <v>17.776488219632611</v>
      </c>
      <c r="G1653" s="1">
        <f t="shared" ref="G1653:K1653" si="1029">SUM(G1658:G1660)</f>
        <v>14.149209174478361</v>
      </c>
      <c r="H1653" s="1">
        <f t="shared" si="1029"/>
        <v>7.9282279925308732</v>
      </c>
      <c r="I1653" s="1">
        <f t="shared" si="1029"/>
        <v>3.4649033692382822</v>
      </c>
      <c r="J1653" s="1">
        <f t="shared" si="1029"/>
        <v>16.343593114476864</v>
      </c>
      <c r="K1653" s="1">
        <f t="shared" si="1029"/>
        <v>16.343320858078588</v>
      </c>
    </row>
    <row r="1654" spans="2:11" x14ac:dyDescent="0.25">
      <c r="B1654" t="str">
        <f t="shared" si="1028"/>
        <v>SPS4</v>
      </c>
      <c r="C1654" t="str">
        <f t="shared" si="1019"/>
        <v>CH</v>
      </c>
      <c r="D1654" t="s">
        <v>1668</v>
      </c>
      <c r="E1654" t="str">
        <f t="shared" si="1025"/>
        <v>PJ/yr.</v>
      </c>
      <c r="F1654" s="1">
        <f>F1653-F1655</f>
        <v>17.337234092989373</v>
      </c>
      <c r="G1654" s="1">
        <f t="shared" ref="G1654:K1654" si="1030">G1653-G1655</f>
        <v>13.76623213866417</v>
      </c>
      <c r="H1654" s="1">
        <f t="shared" si="1030"/>
        <v>7.6643523592714011</v>
      </c>
      <c r="I1654" s="1">
        <f t="shared" si="1030"/>
        <v>3.3322321479207573</v>
      </c>
      <c r="J1654" s="1">
        <f t="shared" si="1030"/>
        <v>15.887362918642678</v>
      </c>
      <c r="K1654" s="1">
        <f t="shared" si="1030"/>
        <v>15.913897003569616</v>
      </c>
    </row>
    <row r="1655" spans="2:11" x14ac:dyDescent="0.25">
      <c r="B1655" t="str">
        <f t="shared" si="1028"/>
        <v>SPS4</v>
      </c>
      <c r="C1655" t="str">
        <f t="shared" si="1019"/>
        <v>CH</v>
      </c>
      <c r="D1655" t="s">
        <v>1669</v>
      </c>
      <c r="E1655" t="str">
        <f t="shared" si="1025"/>
        <v>PJ/yr.</v>
      </c>
      <c r="F1655" s="1">
        <f>SUM(F1656:F1657)</f>
        <v>0.43925412664323887</v>
      </c>
      <c r="G1655" s="1">
        <f t="shared" ref="G1655:K1655" si="1031">SUM(G1656:G1657)</f>
        <v>0.3829770358141909</v>
      </c>
      <c r="H1655" s="1">
        <f t="shared" si="1031"/>
        <v>0.26387563325947194</v>
      </c>
      <c r="I1655" s="1">
        <f t="shared" si="1031"/>
        <v>0.1326712213175249</v>
      </c>
      <c r="J1655" s="1">
        <f t="shared" si="1031"/>
        <v>0.456230195834186</v>
      </c>
      <c r="K1655" s="1">
        <f t="shared" si="1031"/>
        <v>0.42942385450897264</v>
      </c>
    </row>
    <row r="1656" spans="2:11" x14ac:dyDescent="0.25">
      <c r="B1656" t="str">
        <f t="shared" si="1028"/>
        <v>SPS4</v>
      </c>
      <c r="C1656" t="str">
        <f t="shared" si="1019"/>
        <v>CH</v>
      </c>
      <c r="D1656" t="s">
        <v>1670</v>
      </c>
      <c r="E1656" t="str">
        <f t="shared" si="1025"/>
        <v>PJ/yr.</v>
      </c>
      <c r="F1656" s="1">
        <f>[1]Transport!B$26/SUM([1]Transport!B$22,[1]Transport!B$26)*F1653*(F$33+F$580)/(F$33+F$580+F$36)</f>
        <v>0.43925412664323887</v>
      </c>
      <c r="G1656" s="1">
        <f>[1]Transport!C$26/SUM([1]Transport!C$22,[1]Transport!C$26)*G1653*(G$33+G$580)/(G$33+G$580+G$36)</f>
        <v>0.3829770358141909</v>
      </c>
      <c r="H1656" s="1">
        <f>[1]Transport!D$26/SUM([1]Transport!D$22,[1]Transport!D$26)*H1653*(H$33+H$580)/(H$33+H$580+H$36)</f>
        <v>0.26387563325947194</v>
      </c>
      <c r="I1656" s="1">
        <f>[1]Transport!E$26/SUM([1]Transport!E$22,[1]Transport!E$26)*I1653*(I$33+I$580)/(I$33+I$580+I$36)</f>
        <v>0.1326712213175249</v>
      </c>
      <c r="J1656" s="1">
        <f>[1]Transport!F$26/SUM([1]Transport!F$22,[1]Transport!F$26)*J1653*(J$33+J$580)/(J$33+J$580+J$36)</f>
        <v>0.33157760473064052</v>
      </c>
      <c r="K1656" s="1">
        <f>[1]Transport!G$26/SUM([1]Transport!G$22,[1]Transport!G$26)*K1653*(K$33+K$580)/(K$33+K$580+K$36)</f>
        <v>0.42940508484534806</v>
      </c>
    </row>
    <row r="1657" spans="2:11" x14ac:dyDescent="0.25">
      <c r="B1657" t="str">
        <f t="shared" si="1028"/>
        <v>SPS4</v>
      </c>
      <c r="C1657" t="str">
        <f t="shared" si="1019"/>
        <v>CH</v>
      </c>
      <c r="D1657" t="s">
        <v>1671</v>
      </c>
      <c r="E1657" t="str">
        <f t="shared" si="1025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0.12465259110354546</v>
      </c>
      <c r="K1657" s="1">
        <f>(K$36+K$716)/([1]Transport!G$22+[1]Transport!G$26)*K1653</f>
        <v>1.8769663624599405E-5</v>
      </c>
    </row>
    <row r="1658" spans="2:11" x14ac:dyDescent="0.25">
      <c r="B1658" t="str">
        <f t="shared" si="1028"/>
        <v>SPS4</v>
      </c>
      <c r="C1658" t="str">
        <f t="shared" si="1019"/>
        <v>CH</v>
      </c>
      <c r="D1658" t="s">
        <v>1672</v>
      </c>
      <c r="E1658" t="str">
        <f t="shared" si="1025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28"/>
        <v>SPS4</v>
      </c>
      <c r="C1659" t="str">
        <f t="shared" si="1019"/>
        <v>CH</v>
      </c>
      <c r="D1659" t="s">
        <v>1673</v>
      </c>
      <c r="E1659" t="str">
        <f t="shared" si="1025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0.39609041329790007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0.27728920489219711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3.0725671395302268E-4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3.2037789665081469E-4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3.2242043058173527E-4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28"/>
        <v>SPS4</v>
      </c>
      <c r="C1660" t="str">
        <f t="shared" si="1019"/>
        <v>CH</v>
      </c>
      <c r="D1660" t="s">
        <v>1674</v>
      </c>
      <c r="E1660" t="str">
        <f t="shared" si="1025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13.871919969586164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7.9279207358169206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3.4645829913416315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16.343270694046282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16.343320858078588</v>
      </c>
    </row>
    <row r="1661" spans="2:11" x14ac:dyDescent="0.25">
      <c r="B1661" s="2" t="str">
        <f t="shared" si="1028"/>
        <v>SPS4</v>
      </c>
      <c r="C1661" s="2" t="str">
        <f t="shared" si="1019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si="1028"/>
        <v>SPS4</v>
      </c>
      <c r="C1662" t="str">
        <f t="shared" si="1019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0.22016972158071837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0.24502514402278328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0.26340051134804593</v>
      </c>
    </row>
    <row r="1663" spans="2:11" x14ac:dyDescent="0.25">
      <c r="B1663" t="str">
        <f t="shared" si="1028"/>
        <v>SPS4</v>
      </c>
      <c r="C1663" t="str">
        <f t="shared" si="1019"/>
        <v>CH</v>
      </c>
      <c r="D1663" t="s">
        <v>1677</v>
      </c>
      <c r="E1663" t="str">
        <f t="shared" ref="E1663:E1666" si="1032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2.5094616289056196E-2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2.6565897456320698E-2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2.9170901086274879E-2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3.1643090295155114E-2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3.387918212076714E-2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3.642248154257087E-2</v>
      </c>
    </row>
    <row r="1664" spans="2:11" x14ac:dyDescent="0.25">
      <c r="B1664" t="str">
        <f t="shared" si="1028"/>
        <v>SPS4</v>
      </c>
      <c r="C1664" t="str">
        <f t="shared" si="1019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4.1899654372257196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4.1899704649358496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4.1899558187415797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1.41192244132704E-5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4.2368900167133702E-5</v>
      </c>
    </row>
    <row r="1665" spans="2:11" x14ac:dyDescent="0.25">
      <c r="B1665" t="str">
        <f t="shared" si="1028"/>
        <v>SPS4</v>
      </c>
      <c r="C1665" t="str">
        <f t="shared" si="1019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1.006546061820337E-7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1.1455638641248021E-7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1.1993590113288158E-7</v>
      </c>
    </row>
    <row r="1666" spans="2:11" x14ac:dyDescent="0.25">
      <c r="B1666" t="str">
        <f t="shared" si="1028"/>
        <v>SPS4</v>
      </c>
      <c r="C1666" t="str">
        <f t="shared" si="1019"/>
        <v>CH</v>
      </c>
      <c r="D1666" t="s">
        <v>1680</v>
      </c>
      <c r="E1666" t="str">
        <f t="shared" si="1032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28"/>
        <v>SPS4</v>
      </c>
      <c r="C1667" t="str">
        <f t="shared" si="1019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1.8049762990521601E-6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1.62181584763249E-5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1.63871281084358E-5</v>
      </c>
    </row>
    <row r="1668" spans="2:11" x14ac:dyDescent="0.25">
      <c r="B1668" t="str">
        <f t="shared" si="1028"/>
        <v>SPS4</v>
      </c>
      <c r="C1668" t="str">
        <f t="shared" si="1019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2.0555836673318798E-6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3.2026517647054102E-5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2.6679111566197602E-5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2.50124093202335E-5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28"/>
        <v>SPS4</v>
      </c>
      <c r="C1669" t="str">
        <f t="shared" si="1019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28"/>
        <v>SPS4</v>
      </c>
      <c r="C1670" t="str">
        <f t="shared" si="1019"/>
        <v>CH</v>
      </c>
      <c r="D1670" t="s">
        <v>1684</v>
      </c>
      <c r="E1670" t="str">
        <f t="shared" ref="E1670" si="1033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1.6053837109438001E-3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1.1238736354360797E-3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1.2453341638625213E-6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1.2985152868186844E-6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1.3067938277569727E-6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28"/>
        <v>SPS4</v>
      </c>
      <c r="C1671" t="str">
        <f t="shared" si="1019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13.7091992986186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7.8349244826423101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3.42394267116893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16.151560535757501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16.1516101113546</v>
      </c>
    </row>
    <row r="1672" spans="2:11" x14ac:dyDescent="0.25">
      <c r="B1672" s="2" t="str">
        <f t="shared" si="1028"/>
        <v>SPS4</v>
      </c>
      <c r="C1672" s="2" t="str">
        <f t="shared" si="1019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28"/>
        <v>SPS4</v>
      </c>
      <c r="C1673" t="str">
        <f t="shared" si="1019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34">IFERROR(G1662/G1640,"-")</f>
        <v>2.5301857215832019E-2</v>
      </c>
      <c r="H1673" s="7">
        <f t="shared" si="1034"/>
        <v>2.5290901397750198E-2</v>
      </c>
      <c r="I1673" s="7">
        <f t="shared" si="1034"/>
        <v>2.527264170094725E-2</v>
      </c>
      <c r="J1673" s="7">
        <f t="shared" si="1034"/>
        <v>2.5236122307341253E-2</v>
      </c>
      <c r="K1673" s="7">
        <f t="shared" si="1034"/>
        <v>2.519960291373529E-2</v>
      </c>
    </row>
    <row r="1674" spans="2:11" x14ac:dyDescent="0.25">
      <c r="B1674" t="str">
        <f t="shared" si="1028"/>
        <v>SPS4</v>
      </c>
      <c r="C1674" t="str">
        <f t="shared" si="1019"/>
        <v>CH</v>
      </c>
      <c r="D1674" t="s">
        <v>1688</v>
      </c>
      <c r="E1674" t="s">
        <v>1230</v>
      </c>
      <c r="F1674" s="7">
        <f>IFERROR(F1663/F1641,"-")</f>
        <v>1.6704032219401293E-2</v>
      </c>
      <c r="G1674" s="7">
        <f t="shared" ref="G1674:K1674" si="1035">IFERROR(G1663/G1641,"-")</f>
        <v>1.6704032219401289E-2</v>
      </c>
      <c r="H1674" s="7">
        <f t="shared" si="1035"/>
        <v>1.6704032219401307E-2</v>
      </c>
      <c r="I1674" s="7">
        <f t="shared" si="1035"/>
        <v>1.6704032219401296E-2</v>
      </c>
      <c r="J1674" s="7">
        <f t="shared" si="1035"/>
        <v>1.6704032219401307E-2</v>
      </c>
      <c r="K1674" s="7">
        <f t="shared" si="1035"/>
        <v>1.6704032219401296E-2</v>
      </c>
    </row>
    <row r="1675" spans="2:11" x14ac:dyDescent="0.25">
      <c r="B1675" t="str">
        <f t="shared" si="1028"/>
        <v>SPS4</v>
      </c>
      <c r="C1675" t="str">
        <f t="shared" si="1019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36">IFERROR(G1664/G1642,"-")</f>
        <v>2.4673913043478417</v>
      </c>
      <c r="H1675">
        <f t="shared" si="1036"/>
        <v>2.4673913043478279</v>
      </c>
      <c r="I1675">
        <f t="shared" si="1036"/>
        <v>2.4673913043478426</v>
      </c>
      <c r="J1675">
        <f t="shared" si="1036"/>
        <v>2.4673913043478382</v>
      </c>
      <c r="K1675">
        <f t="shared" si="1036"/>
        <v>2.4673913043478368</v>
      </c>
    </row>
    <row r="1676" spans="2:11" x14ac:dyDescent="0.25">
      <c r="B1676" t="str">
        <f t="shared" si="1028"/>
        <v>SPS4</v>
      </c>
      <c r="C1676" t="str">
        <f t="shared" si="1019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37">IFERROR(G1665/G1644,"-")</f>
        <v>-</v>
      </c>
      <c r="H1676" t="str">
        <f t="shared" si="1037"/>
        <v>-</v>
      </c>
      <c r="I1676">
        <f t="shared" si="1037"/>
        <v>1.6563690230942056E-2</v>
      </c>
      <c r="J1676">
        <f t="shared" si="1037"/>
        <v>1.7941883805152232E-2</v>
      </c>
      <c r="K1676">
        <f t="shared" si="1037"/>
        <v>1.932007737936239E-2</v>
      </c>
    </row>
    <row r="1677" spans="2:11" x14ac:dyDescent="0.25">
      <c r="B1677" t="str">
        <f t="shared" si="1028"/>
        <v>SPS4</v>
      </c>
      <c r="C1677" t="str">
        <f t="shared" si="1019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38">IFERROR(G1666/G1645,"-")</f>
        <v>-</v>
      </c>
      <c r="H1677" t="str">
        <f t="shared" si="1038"/>
        <v>-</v>
      </c>
      <c r="I1677" t="str">
        <f t="shared" si="1038"/>
        <v>-</v>
      </c>
      <c r="J1677" t="str">
        <f t="shared" si="1038"/>
        <v>-</v>
      </c>
      <c r="K1677" t="str">
        <f t="shared" si="1038"/>
        <v>-</v>
      </c>
    </row>
    <row r="1678" spans="2:11" x14ac:dyDescent="0.25">
      <c r="B1678" t="str">
        <f t="shared" si="1028"/>
        <v>SPS4</v>
      </c>
      <c r="C1678" t="str">
        <f t="shared" si="1019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39">IFERROR(G1667/G1646,"-")</f>
        <v>-</v>
      </c>
      <c r="H1678" t="str">
        <f t="shared" si="1039"/>
        <v>-</v>
      </c>
      <c r="I1678">
        <f t="shared" si="1039"/>
        <v>1.7934782608695612</v>
      </c>
      <c r="J1678">
        <f t="shared" si="1039"/>
        <v>1.7934782608695661</v>
      </c>
      <c r="K1678">
        <f t="shared" si="1039"/>
        <v>1.7934782608695674</v>
      </c>
    </row>
    <row r="1679" spans="2:11" x14ac:dyDescent="0.25">
      <c r="B1679" t="str">
        <f t="shared" si="1028"/>
        <v>SPS4</v>
      </c>
      <c r="C1679" t="str">
        <f t="shared" si="1019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40">IFERROR(G1668/G1652,"-")</f>
        <v>0.90641226905248018</v>
      </c>
      <c r="H1679" s="4">
        <f t="shared" si="1040"/>
        <v>0.90641226905247541</v>
      </c>
      <c r="I1679" s="4">
        <f t="shared" si="1040"/>
        <v>0.90641226905247918</v>
      </c>
      <c r="J1679" s="4">
        <f t="shared" si="1040"/>
        <v>0.9064122690524794</v>
      </c>
      <c r="K1679" s="4" t="str">
        <f t="shared" si="1040"/>
        <v>-</v>
      </c>
    </row>
    <row r="1680" spans="2:11" x14ac:dyDescent="0.25">
      <c r="B1680" t="str">
        <f t="shared" si="1028"/>
        <v>SPS4</v>
      </c>
      <c r="C1680" t="str">
        <f t="shared" si="1019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41">IFERROR(G1669/G1658,"-")</f>
        <v>-</v>
      </c>
      <c r="H1680" t="str">
        <f t="shared" si="1041"/>
        <v>-</v>
      </c>
      <c r="I1680" t="str">
        <f t="shared" si="1041"/>
        <v>-</v>
      </c>
      <c r="J1680" t="str">
        <f t="shared" si="1041"/>
        <v>-</v>
      </c>
      <c r="K1680" t="str">
        <f t="shared" si="1041"/>
        <v>-</v>
      </c>
    </row>
    <row r="1681" spans="2:11" x14ac:dyDescent="0.25">
      <c r="B1681" t="str">
        <f t="shared" si="1028"/>
        <v>SPS4</v>
      </c>
      <c r="C1681" t="str">
        <f t="shared" si="1019"/>
        <v>CH</v>
      </c>
      <c r="D1681" t="s">
        <v>1695</v>
      </c>
      <c r="E1681" t="s">
        <v>1230</v>
      </c>
      <c r="F1681" s="1">
        <f>IFERROR(F1670/F1659,"-")</f>
        <v>4.053073886785513E-3</v>
      </c>
      <c r="G1681" s="1">
        <f t="shared" si="1041"/>
        <v>4.0530738867855052E-3</v>
      </c>
      <c r="H1681">
        <f t="shared" si="1041"/>
        <v>4.0530738867855104E-3</v>
      </c>
      <c r="I1681">
        <f t="shared" si="1041"/>
        <v>4.0530738867855113E-3</v>
      </c>
      <c r="J1681">
        <f t="shared" si="1041"/>
        <v>4.0530738867855139E-3</v>
      </c>
      <c r="K1681" t="str">
        <f t="shared" si="1041"/>
        <v>-</v>
      </c>
    </row>
    <row r="1682" spans="2:11" x14ac:dyDescent="0.25">
      <c r="B1682" t="str">
        <f t="shared" si="1028"/>
        <v>SPS4</v>
      </c>
      <c r="C1682" t="str">
        <f t="shared" si="1019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41"/>
        <v>0.98826978015124611</v>
      </c>
      <c r="H1682" s="4">
        <f t="shared" si="1041"/>
        <v>0.98826978015124822</v>
      </c>
      <c r="I1682" s="4">
        <f t="shared" si="1041"/>
        <v>0.988269780151243</v>
      </c>
      <c r="J1682" s="4">
        <f t="shared" si="1041"/>
        <v>0.98826978015125089</v>
      </c>
      <c r="K1682" s="4">
        <f t="shared" si="1041"/>
        <v>0.988269780151246</v>
      </c>
    </row>
    <row r="1683" spans="2:11" x14ac:dyDescent="0.25">
      <c r="B1683" s="2" t="str">
        <f t="shared" si="1028"/>
        <v>SPS4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34.597498747140733</v>
      </c>
      <c r="G1683" s="3">
        <f t="shared" ref="G1683:K1683" si="1042">SUM(G1684:G1686,G1689:G1691,-G1696)</f>
        <v>32.441333581421169</v>
      </c>
      <c r="H1683" s="3">
        <f t="shared" si="1042"/>
        <v>30.082240664572868</v>
      </c>
      <c r="I1683" s="3">
        <f t="shared" si="1042"/>
        <v>24.777246001193902</v>
      </c>
      <c r="J1683" s="3">
        <f t="shared" si="1042"/>
        <v>18.978704383438789</v>
      </c>
      <c r="K1683" s="3">
        <f t="shared" si="1042"/>
        <v>14.6886132024486</v>
      </c>
    </row>
    <row r="1684" spans="2:11" x14ac:dyDescent="0.25">
      <c r="B1684" t="str">
        <f t="shared" si="1028"/>
        <v>SPS4</v>
      </c>
      <c r="C1684" t="str">
        <f t="shared" ref="C1684" si="1043">C1683</f>
        <v>CH</v>
      </c>
      <c r="D1684" t="s">
        <v>1703</v>
      </c>
      <c r="E1684" t="str">
        <f>E1683</f>
        <v>Mt/yr.</v>
      </c>
      <c r="F1684" s="1">
        <f>[1]Summary!B53+[1]Summary!B59</f>
        <v>2.5736542030687533</v>
      </c>
      <c r="G1684" s="1">
        <f>[1]Summary!C53+[1]Summary!C59</f>
        <v>2.4968659881300619</v>
      </c>
      <c r="H1684" s="1">
        <f>[1]Summary!D53+[1]Summary!D59</f>
        <v>2.2703354427453575</v>
      </c>
      <c r="I1684" s="1">
        <f>[1]Summary!E53+[1]Summary!E59</f>
        <v>2.277035085319838</v>
      </c>
      <c r="J1684" s="1">
        <f>[1]Summary!F53+[1]Summary!F59</f>
        <v>2.2765488285206943</v>
      </c>
      <c r="K1684" s="1">
        <f>[1]Summary!G53+[1]Summary!G59</f>
        <v>2.3177496405552347</v>
      </c>
    </row>
    <row r="1685" spans="2:11" x14ac:dyDescent="0.25">
      <c r="B1685" t="str">
        <f t="shared" si="1028"/>
        <v>SPS4</v>
      </c>
      <c r="C1685" t="str">
        <f t="shared" ref="C1685:C1696" si="1044">C1684</f>
        <v>CH</v>
      </c>
      <c r="D1685" t="s">
        <v>1704</v>
      </c>
      <c r="E1685" t="str">
        <f t="shared" ref="E1685:E1696" si="1045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2.15775518497131E-4</v>
      </c>
      <c r="J1685" s="1">
        <f>[1]Summary!F54+[1]Summary!F61</f>
        <v>0.16469092457669299</v>
      </c>
      <c r="K1685" s="1">
        <f>[1]Summary!G54+[1]Summary!G61+[1]Summary!G62</f>
        <v>2.6702144143627301E-5</v>
      </c>
    </row>
    <row r="1686" spans="2:11" x14ac:dyDescent="0.25">
      <c r="B1686" t="str">
        <f t="shared" si="1028"/>
        <v>SPS4</v>
      </c>
      <c r="C1686" t="str">
        <f t="shared" si="1044"/>
        <v>CH</v>
      </c>
      <c r="D1686" t="s">
        <v>1705</v>
      </c>
      <c r="E1686" t="str">
        <f t="shared" si="1045"/>
        <v>Mt/yr.</v>
      </c>
      <c r="F1686" s="1">
        <f>[1]Summary!B55+[1]Summary!B60</f>
        <v>6.4915983179362806</v>
      </c>
      <c r="G1686" s="1">
        <f>[1]Summary!C55+[1]Summary!C60</f>
        <v>5.9832273356537264</v>
      </c>
      <c r="H1686" s="1">
        <f>[1]Summary!D55+[1]Summary!D60</f>
        <v>5.8554762064249513</v>
      </c>
      <c r="I1686" s="1">
        <f>[1]Summary!E55+[1]Summary!E60</f>
        <v>5.2906762584263465</v>
      </c>
      <c r="J1686" s="1">
        <f>[1]Summary!F55+[1]Summary!F60</f>
        <v>4.0393817727853527</v>
      </c>
      <c r="K1686" s="1">
        <f>[1]Summary!G55+[1]Summary!G60</f>
        <v>3.1722321988083602</v>
      </c>
    </row>
    <row r="1687" spans="2:11" x14ac:dyDescent="0.25">
      <c r="B1687" t="str">
        <f t="shared" si="1028"/>
        <v>SPS4</v>
      </c>
      <c r="C1687" t="str">
        <f t="shared" si="1044"/>
        <v>CH</v>
      </c>
      <c r="D1687" t="s">
        <v>1715</v>
      </c>
      <c r="E1687" t="str">
        <f t="shared" si="1045"/>
        <v>Mt/yr.</v>
      </c>
      <c r="F1687" s="1">
        <f>F1686-F1688</f>
        <v>4.4022515174516403</v>
      </c>
      <c r="G1687" s="1">
        <f t="shared" ref="G1687:K1687" si="1046">G1686-G1688</f>
        <v>3.8722141657796461</v>
      </c>
      <c r="H1687" s="1">
        <f t="shared" si="1046"/>
        <v>3.7532067353636913</v>
      </c>
      <c r="I1687" s="1">
        <f t="shared" si="1046"/>
        <v>3.1970191960137067</v>
      </c>
      <c r="J1687" s="1">
        <f t="shared" si="1046"/>
        <v>1.9619689256590425</v>
      </c>
      <c r="K1687" s="1">
        <f t="shared" si="1046"/>
        <v>1.1084836425533702</v>
      </c>
    </row>
    <row r="1688" spans="2:11" x14ac:dyDescent="0.25">
      <c r="B1688" t="str">
        <f t="shared" si="1028"/>
        <v>SPS4</v>
      </c>
      <c r="C1688" t="str">
        <f t="shared" si="1044"/>
        <v>CH</v>
      </c>
      <c r="D1688" t="s">
        <v>1714</v>
      </c>
      <c r="E1688" t="str">
        <f t="shared" si="1045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2.0936570624126398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2.0774128471263102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2.06374855625499</v>
      </c>
    </row>
    <row r="1689" spans="2:11" x14ac:dyDescent="0.25">
      <c r="B1689" t="str">
        <f t="shared" si="1028"/>
        <v>SPS4</v>
      </c>
      <c r="C1689" t="str">
        <f t="shared" si="1044"/>
        <v>CH</v>
      </c>
      <c r="D1689" t="s">
        <v>1706</v>
      </c>
      <c r="E1689" t="str">
        <f t="shared" si="1045"/>
        <v>Mt/yr.</v>
      </c>
      <c r="F1689" s="1">
        <f>[1]Summary!B56</f>
        <v>3.7897279167046101</v>
      </c>
      <c r="G1689" s="1">
        <f>[1]Summary!C56</f>
        <v>3.5432631355544801</v>
      </c>
      <c r="H1689" s="1">
        <f>[1]Summary!D56</f>
        <v>3.3674704901941102</v>
      </c>
      <c r="I1689" s="1">
        <f>[1]Summary!E56</f>
        <v>2.7578594090482</v>
      </c>
      <c r="J1689" s="1">
        <f>[1]Summary!F56</f>
        <v>1.8703058449793999</v>
      </c>
      <c r="K1689" s="1">
        <f>[1]Summary!G56</f>
        <v>1.0650537787235279</v>
      </c>
    </row>
    <row r="1690" spans="2:11" x14ac:dyDescent="0.25">
      <c r="B1690" t="str">
        <f t="shared" si="1028"/>
        <v>SPS4</v>
      </c>
      <c r="C1690" t="str">
        <f t="shared" si="1044"/>
        <v>CH</v>
      </c>
      <c r="D1690" t="s">
        <v>1707</v>
      </c>
      <c r="E1690" t="str">
        <f t="shared" si="1045"/>
        <v>Mt/yr.</v>
      </c>
      <c r="F1690" s="1">
        <f>[1]Summary!B57</f>
        <v>7.1744301673673831</v>
      </c>
      <c r="G1690" s="1">
        <f>[1]Summary!C57</f>
        <v>6.466010591882779</v>
      </c>
      <c r="H1690" s="1">
        <f>[1]Summary!D57</f>
        <v>6.425038868778171</v>
      </c>
      <c r="I1690" s="1">
        <f>[1]Summary!E57</f>
        <v>4.9885249970482768</v>
      </c>
      <c r="J1690" s="1">
        <f>[1]Summary!F57</f>
        <v>3.8433310563125702</v>
      </c>
      <c r="K1690" s="1">
        <f>[1]Summary!G57</f>
        <v>2.3769506684623063</v>
      </c>
    </row>
    <row r="1691" spans="2:11" x14ac:dyDescent="0.25">
      <c r="B1691" t="str">
        <f t="shared" si="1028"/>
        <v>SPS4</v>
      </c>
      <c r="C1691" t="str">
        <f t="shared" si="1044"/>
        <v>CH</v>
      </c>
      <c r="D1691" t="s">
        <v>1708</v>
      </c>
      <c r="E1691" t="str">
        <f t="shared" si="1045"/>
        <v>Mt/yr.</v>
      </c>
      <c r="F1691" s="1">
        <f>[1]Summary!B58</f>
        <v>14.568088142063704</v>
      </c>
      <c r="G1691" s="1">
        <f>[1]Summary!C58</f>
        <v>13.951966530200126</v>
      </c>
      <c r="H1691" s="1">
        <f>[1]Summary!D58</f>
        <v>12.163919656430277</v>
      </c>
      <c r="I1691" s="1">
        <f>[1]Summary!E58</f>
        <v>9.4629344758327427</v>
      </c>
      <c r="J1691" s="1">
        <f>[1]Summary!F58</f>
        <v>6.7844459562640793</v>
      </c>
      <c r="K1691" s="1">
        <f>[1]Summary!G58</f>
        <v>5.7566002137550258</v>
      </c>
    </row>
    <row r="1692" spans="2:11" x14ac:dyDescent="0.25">
      <c r="B1692" t="str">
        <f t="shared" si="1028"/>
        <v>SPS4</v>
      </c>
      <c r="C1692" t="str">
        <f t="shared" si="1044"/>
        <v>CH</v>
      </c>
      <c r="D1692" t="s">
        <v>1709</v>
      </c>
      <c r="E1692" t="str">
        <f t="shared" si="1045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</v>
      </c>
      <c r="K1692" s="1">
        <f>-[1]Summary!G59</f>
        <v>0</v>
      </c>
    </row>
    <row r="1693" spans="2:11" x14ac:dyDescent="0.25">
      <c r="B1693" t="str">
        <f t="shared" si="1028"/>
        <v>SPS4</v>
      </c>
      <c r="C1693" t="str">
        <f t="shared" si="1044"/>
        <v>CH</v>
      </c>
      <c r="D1693" t="s">
        <v>1710</v>
      </c>
      <c r="E1693" t="str">
        <f t="shared" si="1045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</v>
      </c>
      <c r="K1693" s="1">
        <f>-[1]Summary!G60</f>
        <v>0</v>
      </c>
    </row>
    <row r="1694" spans="2:11" x14ac:dyDescent="0.25">
      <c r="B1694" t="str">
        <f t="shared" si="1028"/>
        <v>SPS4</v>
      </c>
      <c r="C1694" t="str">
        <f t="shared" si="1044"/>
        <v>CH</v>
      </c>
      <c r="D1694" t="s">
        <v>1711</v>
      </c>
      <c r="E1694" t="str">
        <f t="shared" si="1045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</v>
      </c>
    </row>
    <row r="1695" spans="2:11" x14ac:dyDescent="0.25">
      <c r="B1695" t="str">
        <f t="shared" si="1028"/>
        <v>SPS4</v>
      </c>
      <c r="C1695" t="str">
        <f t="shared" si="1044"/>
        <v>CH</v>
      </c>
      <c r="D1695" t="s">
        <v>1712</v>
      </c>
      <c r="E1695" t="str">
        <f t="shared" si="1045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</v>
      </c>
    </row>
    <row r="1696" spans="2:11" x14ac:dyDescent="0.25">
      <c r="B1696" t="str">
        <f t="shared" si="1028"/>
        <v>SPS4</v>
      </c>
      <c r="C1696" t="str">
        <f t="shared" si="1044"/>
        <v>CH</v>
      </c>
      <c r="D1696" t="s">
        <v>1713</v>
      </c>
      <c r="E1696" t="str">
        <f t="shared" si="1045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 x14ac:dyDescent="0.25">
      <c r="B1697" s="2" t="str">
        <f t="shared" si="1028"/>
        <v>SPS4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047">SUM(G1698:G1700)</f>
        <v>0</v>
      </c>
      <c r="H1697" s="3">
        <f t="shared" si="1047"/>
        <v>0</v>
      </c>
      <c r="I1697" s="3">
        <f t="shared" si="1047"/>
        <v>0</v>
      </c>
      <c r="J1697" s="3">
        <f t="shared" si="1047"/>
        <v>0</v>
      </c>
      <c r="K1697" s="3">
        <f t="shared" si="1047"/>
        <v>0</v>
      </c>
    </row>
    <row r="1698" spans="2:11" x14ac:dyDescent="0.25">
      <c r="B1698" t="str">
        <f t="shared" si="1028"/>
        <v>SPS4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 x14ac:dyDescent="0.25">
      <c r="B1699" t="str">
        <f t="shared" si="1028"/>
        <v>SPS4</v>
      </c>
      <c r="C1699" t="str">
        <f t="shared" ref="C1699:C1700" si="1048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</v>
      </c>
      <c r="K1699" s="1">
        <f>[1]Summary!C$78</f>
        <v>0</v>
      </c>
    </row>
    <row r="1700" spans="2:11" x14ac:dyDescent="0.25">
      <c r="B1700" t="str">
        <f t="shared" si="1028"/>
        <v>SPS4</v>
      </c>
      <c r="C1700" t="str">
        <f t="shared" si="1048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0</v>
      </c>
    </row>
    <row r="1701" spans="2:11" x14ac:dyDescent="0.25">
      <c r="B1701" s="2" t="str">
        <f t="shared" si="1028"/>
        <v>SPS4</v>
      </c>
      <c r="C1701" s="2" t="str">
        <f t="shared" ref="B1701:C1706" si="1049">C1700</f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028"/>
        <v>SPS4</v>
      </c>
      <c r="C1702" t="str">
        <f t="shared" si="1049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050">SUM(G1703:G1704)</f>
        <v>0</v>
      </c>
      <c r="H1702" s="1">
        <f t="shared" si="1050"/>
        <v>0</v>
      </c>
      <c r="I1702" s="1">
        <f t="shared" si="1050"/>
        <v>0</v>
      </c>
      <c r="J1702" s="1">
        <f t="shared" si="1050"/>
        <v>0</v>
      </c>
      <c r="K1702" s="1">
        <f t="shared" si="1050"/>
        <v>0</v>
      </c>
    </row>
    <row r="1703" spans="2:11" x14ac:dyDescent="0.25">
      <c r="B1703" t="str">
        <f t="shared" si="1028"/>
        <v>SPS4</v>
      </c>
      <c r="C1703" t="str">
        <f t="shared" si="1049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25">
      <c r="B1704" t="str">
        <f t="shared" si="1028"/>
        <v>SPS4</v>
      </c>
      <c r="C1704" t="str">
        <f t="shared" si="1049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25">
      <c r="B1705" t="str">
        <f t="shared" si="1028"/>
        <v>SPS4</v>
      </c>
      <c r="C1705" t="str">
        <f t="shared" si="1049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051">G1696</f>
        <v>0</v>
      </c>
      <c r="H1705" s="1">
        <f t="shared" si="1051"/>
        <v>0</v>
      </c>
      <c r="I1705" s="1">
        <f t="shared" si="1051"/>
        <v>0</v>
      </c>
      <c r="J1705" s="1">
        <f t="shared" si="1051"/>
        <v>0</v>
      </c>
      <c r="K1705" s="1">
        <f t="shared" si="1051"/>
        <v>0</v>
      </c>
    </row>
    <row r="1706" spans="2:11" x14ac:dyDescent="0.25">
      <c r="B1706" s="2" t="str">
        <f t="shared" si="1028"/>
        <v>SPS4</v>
      </c>
      <c r="C1706" s="2" t="str">
        <f t="shared" si="1049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962.11401447113872</v>
      </c>
      <c r="G1706" s="3">
        <f t="shared" ref="G1706:K1706" si="1052">SUM(G1707:G1708,G1725,G1734:G1735,G1736,G1737,G1742,G1745,,G1750:G1753,G1746)</f>
        <v>958.80092449411552</v>
      </c>
      <c r="H1706" s="3">
        <f t="shared" si="1052"/>
        <v>959.74021311622585</v>
      </c>
      <c r="I1706" s="3">
        <f t="shared" si="1052"/>
        <v>863.34527511784631</v>
      </c>
      <c r="J1706" s="3">
        <f t="shared" si="1052"/>
        <v>751.27749278291299</v>
      </c>
      <c r="K1706" s="3">
        <f t="shared" si="1052"/>
        <v>652.61940486670801</v>
      </c>
    </row>
    <row r="1707" spans="2:11" x14ac:dyDescent="0.25">
      <c r="B1707" t="str">
        <f t="shared" si="1028"/>
        <v>SPS4</v>
      </c>
      <c r="C1707" t="str">
        <f t="shared" ref="C1707" si="1053">C1706</f>
        <v>CH</v>
      </c>
      <c r="D1707" t="s">
        <v>1739</v>
      </c>
      <c r="E1707" t="str">
        <f>E1706</f>
        <v>PJ/yr.</v>
      </c>
      <c r="F1707" s="1">
        <f>F21</f>
        <v>3.6600014276038904</v>
      </c>
      <c r="G1707" s="1">
        <f t="shared" ref="G1707:K1707" si="1054">G21</f>
        <v>3.5647166876924925</v>
      </c>
      <c r="H1707" s="1">
        <f t="shared" si="1054"/>
        <v>3.2525428857421632</v>
      </c>
      <c r="I1707" s="1">
        <f t="shared" si="1054"/>
        <v>6.8246252735741425E-3</v>
      </c>
      <c r="J1707" s="1">
        <f t="shared" si="1054"/>
        <v>3.336828852408488E-4</v>
      </c>
      <c r="K1707" s="1">
        <f t="shared" si="1054"/>
        <v>9.5725429957025708E-5</v>
      </c>
    </row>
    <row r="1708" spans="2:11" x14ac:dyDescent="0.25">
      <c r="B1708" t="str">
        <f t="shared" si="1028"/>
        <v>SPS4</v>
      </c>
      <c r="C1708" t="str">
        <f t="shared" ref="C1708:C1760" si="1055">C1707</f>
        <v>CH</v>
      </c>
      <c r="D1708" t="s">
        <v>1740</v>
      </c>
      <c r="E1708" t="str">
        <f t="shared" ref="E1708:E1736" si="1056">E1707</f>
        <v>PJ/yr.</v>
      </c>
      <c r="F1708" s="1">
        <f t="shared" ref="F1708:K1734" si="1057">F22</f>
        <v>311.16880926865855</v>
      </c>
      <c r="G1708" s="1">
        <f t="shared" si="1057"/>
        <v>288.34474006007383</v>
      </c>
      <c r="H1708" s="1">
        <f t="shared" si="1057"/>
        <v>254.79636944830199</v>
      </c>
      <c r="I1708" s="1">
        <f t="shared" si="1057"/>
        <v>188.65533223484661</v>
      </c>
      <c r="J1708" s="1">
        <f t="shared" si="1057"/>
        <v>131.31076187798436</v>
      </c>
      <c r="K1708" s="1">
        <f t="shared" si="1057"/>
        <v>94.608131624221684</v>
      </c>
    </row>
    <row r="1709" spans="2:11" x14ac:dyDescent="0.25">
      <c r="B1709" t="str">
        <f t="shared" si="1028"/>
        <v>SPS4</v>
      </c>
      <c r="C1709" t="str">
        <f t="shared" si="1055"/>
        <v>CH</v>
      </c>
      <c r="D1709" t="s">
        <v>1741</v>
      </c>
      <c r="E1709" t="str">
        <f t="shared" si="1056"/>
        <v>PJ/yr.</v>
      </c>
      <c r="F1709" s="1">
        <f t="shared" si="1057"/>
        <v>304.13163004099692</v>
      </c>
      <c r="G1709" s="1">
        <f t="shared" si="1057"/>
        <v>280.70053572930198</v>
      </c>
      <c r="H1709" s="1">
        <f t="shared" si="1057"/>
        <v>248.38981571349456</v>
      </c>
      <c r="I1709" s="1">
        <f t="shared" si="1057"/>
        <v>182.33865620495018</v>
      </c>
      <c r="J1709" s="1">
        <f t="shared" si="1057"/>
        <v>125.55929844278516</v>
      </c>
      <c r="K1709" s="1">
        <f t="shared" si="1057"/>
        <v>89.448727292324378</v>
      </c>
    </row>
    <row r="1710" spans="2:11" x14ac:dyDescent="0.25">
      <c r="B1710" t="str">
        <f t="shared" si="1028"/>
        <v>SPS4</v>
      </c>
      <c r="C1710" t="str">
        <f t="shared" si="1055"/>
        <v>CH</v>
      </c>
      <c r="D1710" t="s">
        <v>1742</v>
      </c>
      <c r="E1710" t="str">
        <f t="shared" si="1056"/>
        <v>PJ/yr.</v>
      </c>
      <c r="F1710" s="1">
        <f t="shared" si="1057"/>
        <v>101.72880733245017</v>
      </c>
      <c r="G1710" s="1">
        <f t="shared" si="1057"/>
        <v>90.977470961500657</v>
      </c>
      <c r="H1710" s="1">
        <f t="shared" si="1057"/>
        <v>86.664303402749795</v>
      </c>
      <c r="I1710" s="1">
        <f t="shared" si="1057"/>
        <v>60.632663294907928</v>
      </c>
      <c r="J1710" s="1">
        <f t="shared" si="1057"/>
        <v>33.276146215505619</v>
      </c>
      <c r="K1710" s="1">
        <f t="shared" si="1057"/>
        <v>11.120919194000487</v>
      </c>
    </row>
    <row r="1711" spans="2:11" x14ac:dyDescent="0.25">
      <c r="B1711" t="str">
        <f t="shared" si="1028"/>
        <v>SPS4</v>
      </c>
      <c r="C1711" t="str">
        <f t="shared" si="1055"/>
        <v>CH</v>
      </c>
      <c r="D1711" t="s">
        <v>1743</v>
      </c>
      <c r="E1711" t="str">
        <f t="shared" si="1056"/>
        <v>PJ/yr.</v>
      </c>
      <c r="F1711" s="1">
        <f t="shared" si="1057"/>
        <v>2.7763696549967132</v>
      </c>
      <c r="G1711" s="1">
        <f t="shared" si="1057"/>
        <v>2.278149624022481E-4</v>
      </c>
      <c r="H1711" s="1">
        <f t="shared" si="1057"/>
        <v>6.6834567980590394E-4</v>
      </c>
      <c r="I1711" s="1">
        <f t="shared" si="1057"/>
        <v>4.4597618900430505E-4</v>
      </c>
      <c r="J1711" s="1">
        <f t="shared" si="1057"/>
        <v>3.6026310428607434E-4</v>
      </c>
      <c r="K1711" s="1">
        <f t="shared" si="1057"/>
        <v>0</v>
      </c>
    </row>
    <row r="1712" spans="2:11" x14ac:dyDescent="0.25">
      <c r="B1712" t="str">
        <f t="shared" si="1028"/>
        <v>SPS4</v>
      </c>
      <c r="C1712" t="str">
        <f t="shared" si="1055"/>
        <v>CH</v>
      </c>
      <c r="D1712" t="s">
        <v>1744</v>
      </c>
      <c r="E1712" t="str">
        <f t="shared" si="1056"/>
        <v>PJ/yr.</v>
      </c>
      <c r="F1712" s="1">
        <f t="shared" si="1057"/>
        <v>119.01074159153833</v>
      </c>
      <c r="G1712" s="1">
        <f t="shared" si="1057"/>
        <v>108.38380550476082</v>
      </c>
      <c r="H1712" s="1">
        <f t="shared" si="1057"/>
        <v>87.578643016963113</v>
      </c>
      <c r="I1712" s="1">
        <f t="shared" si="1057"/>
        <v>60.653524634368758</v>
      </c>
      <c r="J1712" s="1">
        <f t="shared" si="1057"/>
        <v>51.532195812545851</v>
      </c>
      <c r="K1712" s="1">
        <f t="shared" si="1057"/>
        <v>48.15018385667971</v>
      </c>
    </row>
    <row r="1713" spans="2:11" x14ac:dyDescent="0.25">
      <c r="B1713" t="str">
        <f t="shared" si="1028"/>
        <v>SPS4</v>
      </c>
      <c r="C1713" t="str">
        <f t="shared" si="1055"/>
        <v>CH</v>
      </c>
      <c r="D1713" t="s">
        <v>1745</v>
      </c>
      <c r="E1713" t="str">
        <f t="shared" si="1056"/>
        <v>PJ/yr.</v>
      </c>
      <c r="F1713" s="1">
        <f t="shared" si="1057"/>
        <v>79.506326095632531</v>
      </c>
      <c r="G1713" s="1">
        <f t="shared" si="1057"/>
        <v>79.933816564524363</v>
      </c>
      <c r="H1713" s="1">
        <f t="shared" si="1057"/>
        <v>72.297241788786152</v>
      </c>
      <c r="I1713" s="1">
        <f t="shared" si="1057"/>
        <v>59.063839411805112</v>
      </c>
      <c r="J1713" s="1">
        <f t="shared" si="1057"/>
        <v>40.402879466696504</v>
      </c>
      <c r="K1713" s="1">
        <f t="shared" si="1057"/>
        <v>30.177613625652821</v>
      </c>
    </row>
    <row r="1714" spans="2:11" x14ac:dyDescent="0.25">
      <c r="B1714" t="str">
        <f t="shared" si="1028"/>
        <v>SPS4</v>
      </c>
      <c r="C1714" t="str">
        <f t="shared" si="1055"/>
        <v>CH</v>
      </c>
      <c r="D1714" t="s">
        <v>1746</v>
      </c>
      <c r="E1714" t="str">
        <f t="shared" si="1056"/>
        <v>PJ/yr.</v>
      </c>
      <c r="F1714" s="1">
        <f t="shared" si="1057"/>
        <v>1.1093853663791744</v>
      </c>
      <c r="G1714" s="1">
        <f t="shared" si="1057"/>
        <v>1.4052148835537817</v>
      </c>
      <c r="H1714" s="1">
        <f t="shared" si="1057"/>
        <v>1.8489591593156731</v>
      </c>
      <c r="I1714" s="1">
        <f t="shared" si="1057"/>
        <v>1.9881828876793761</v>
      </c>
      <c r="J1714" s="1">
        <f t="shared" si="1057"/>
        <v>0.34771668493290808</v>
      </c>
      <c r="K1714" s="1">
        <f t="shared" si="1057"/>
        <v>1.0615991350646792E-5</v>
      </c>
    </row>
    <row r="1715" spans="2:11" x14ac:dyDescent="0.25">
      <c r="B1715" t="str">
        <f t="shared" si="1028"/>
        <v>SPS4</v>
      </c>
      <c r="C1715" t="str">
        <f t="shared" si="1055"/>
        <v>CH</v>
      </c>
      <c r="D1715" t="s">
        <v>1747</v>
      </c>
      <c r="E1715" t="str">
        <f t="shared" si="1056"/>
        <v>PJ/yr.</v>
      </c>
      <c r="F1715" s="1">
        <f t="shared" si="1057"/>
        <v>7.037179227661607</v>
      </c>
      <c r="G1715" s="1">
        <f t="shared" si="1057"/>
        <v>7.6442043307718786</v>
      </c>
      <c r="H1715" s="1">
        <f t="shared" si="1057"/>
        <v>6.4065537348074191</v>
      </c>
      <c r="I1715" s="1">
        <f t="shared" si="1057"/>
        <v>6.3166760298964286</v>
      </c>
      <c r="J1715" s="1">
        <f t="shared" si="1057"/>
        <v>5.7514634351992111</v>
      </c>
      <c r="K1715" s="1">
        <f t="shared" si="1057"/>
        <v>5.1594043318973002</v>
      </c>
    </row>
    <row r="1716" spans="2:11" x14ac:dyDescent="0.25">
      <c r="B1716" t="str">
        <f t="shared" ref="B1716:B1779" si="1058">B1715</f>
        <v>SPS4</v>
      </c>
      <c r="C1716" t="str">
        <f t="shared" si="1055"/>
        <v>CH</v>
      </c>
      <c r="D1716" t="s">
        <v>1748</v>
      </c>
      <c r="E1716" t="str">
        <f t="shared" si="1056"/>
        <v>PJ/yr.</v>
      </c>
      <c r="F1716" s="1">
        <f t="shared" si="1057"/>
        <v>2.6030290179564557</v>
      </c>
      <c r="G1716" s="1">
        <f t="shared" si="1057"/>
        <v>3.0152108037319412</v>
      </c>
      <c r="H1716" s="1">
        <f t="shared" si="1057"/>
        <v>2.3895895950508308</v>
      </c>
      <c r="I1716" s="1">
        <f t="shared" si="1057"/>
        <v>3.0150659024708375</v>
      </c>
      <c r="J1716" s="1">
        <f t="shared" si="1057"/>
        <v>3.4115690485310362</v>
      </c>
      <c r="K1716" s="1">
        <f t="shared" si="1057"/>
        <v>3.411625004674649</v>
      </c>
    </row>
    <row r="1717" spans="2:11" x14ac:dyDescent="0.25">
      <c r="B1717" t="str">
        <f t="shared" si="1058"/>
        <v>SPS4</v>
      </c>
      <c r="C1717" t="str">
        <f t="shared" si="1055"/>
        <v>CH</v>
      </c>
      <c r="D1717" t="s">
        <v>1749</v>
      </c>
      <c r="E1717" t="str">
        <f t="shared" si="1056"/>
        <v>PJ/yr.</v>
      </c>
      <c r="F1717" s="1">
        <f t="shared" si="1057"/>
        <v>4.4341502097051508</v>
      </c>
      <c r="G1717" s="1">
        <f t="shared" si="1057"/>
        <v>4.6289935270399374</v>
      </c>
      <c r="H1717" s="1">
        <f t="shared" si="1057"/>
        <v>4.0169641397565883</v>
      </c>
      <c r="I1717" s="1">
        <f t="shared" si="1057"/>
        <v>3.3016101274255911</v>
      </c>
      <c r="J1717" s="1">
        <f t="shared" si="1057"/>
        <v>2.339894386668175</v>
      </c>
      <c r="K1717" s="1">
        <f t="shared" si="1057"/>
        <v>1.7477793272226512</v>
      </c>
    </row>
    <row r="1718" spans="2:11" x14ac:dyDescent="0.25">
      <c r="B1718" t="str">
        <f t="shared" si="1058"/>
        <v>SPS4</v>
      </c>
      <c r="C1718" t="str">
        <f t="shared" si="1055"/>
        <v>CH</v>
      </c>
      <c r="D1718" t="s">
        <v>1750</v>
      </c>
      <c r="E1718" t="str">
        <f t="shared" si="1056"/>
        <v>PJ/yr.</v>
      </c>
      <c r="F1718" s="1">
        <f t="shared" si="1057"/>
        <v>7.037179227661607</v>
      </c>
      <c r="G1718" s="1">
        <f t="shared" si="1057"/>
        <v>7.6442043307718786</v>
      </c>
      <c r="H1718" s="1">
        <f t="shared" si="1057"/>
        <v>6.4065537348074191</v>
      </c>
      <c r="I1718" s="1">
        <f t="shared" si="1057"/>
        <v>6.3166760298964286</v>
      </c>
      <c r="J1718" s="1">
        <f t="shared" si="1057"/>
        <v>5.3551051904001161</v>
      </c>
      <c r="K1718" s="1">
        <f t="shared" si="1057"/>
        <v>5.1593483757536873</v>
      </c>
    </row>
    <row r="1719" spans="2:11" x14ac:dyDescent="0.25">
      <c r="B1719" t="str">
        <f t="shared" si="1058"/>
        <v>SPS4</v>
      </c>
      <c r="C1719" t="str">
        <f t="shared" si="1055"/>
        <v>CH</v>
      </c>
      <c r="D1719" t="s">
        <v>1751</v>
      </c>
      <c r="E1719" t="str">
        <f t="shared" si="1056"/>
        <v>PJ/yr.</v>
      </c>
      <c r="F1719" s="1">
        <f t="shared" si="1057"/>
        <v>2.6030290179564557</v>
      </c>
      <c r="G1719" s="1">
        <f t="shared" si="1057"/>
        <v>3.0152108037319412</v>
      </c>
      <c r="H1719" s="1">
        <f t="shared" si="1057"/>
        <v>2.3895895950508308</v>
      </c>
      <c r="I1719" s="1">
        <f t="shared" si="1057"/>
        <v>3.0150659024708375</v>
      </c>
      <c r="J1719" s="1">
        <f t="shared" si="1057"/>
        <v>3.0152108037319412</v>
      </c>
      <c r="K1719" s="1">
        <f t="shared" si="1057"/>
        <v>3.4115690485310362</v>
      </c>
    </row>
    <row r="1720" spans="2:11" x14ac:dyDescent="0.25">
      <c r="B1720" t="str">
        <f t="shared" si="1058"/>
        <v>SPS4</v>
      </c>
      <c r="C1720" t="str">
        <f t="shared" si="1055"/>
        <v>CH</v>
      </c>
      <c r="D1720" t="s">
        <v>1752</v>
      </c>
      <c r="E1720" t="str">
        <f t="shared" si="1056"/>
        <v>PJ/yr.</v>
      </c>
      <c r="F1720" s="1">
        <f t="shared" si="1057"/>
        <v>4.4341502097051508</v>
      </c>
      <c r="G1720" s="1">
        <f t="shared" si="1057"/>
        <v>4.6289935270399374</v>
      </c>
      <c r="H1720" s="1">
        <f t="shared" si="1057"/>
        <v>4.0169641397565883</v>
      </c>
      <c r="I1720" s="1">
        <f t="shared" si="1057"/>
        <v>3.3016101274255911</v>
      </c>
      <c r="J1720" s="1">
        <f t="shared" si="1057"/>
        <v>2.339894386668175</v>
      </c>
      <c r="K1720" s="1">
        <f t="shared" si="1057"/>
        <v>1.7477793272226512</v>
      </c>
    </row>
    <row r="1721" spans="2:11" x14ac:dyDescent="0.25">
      <c r="B1721" t="str">
        <f t="shared" si="1058"/>
        <v>SPS4</v>
      </c>
      <c r="C1721" t="str">
        <f t="shared" si="1055"/>
        <v>CH</v>
      </c>
      <c r="D1721" t="s">
        <v>1753</v>
      </c>
      <c r="E1721" t="str">
        <f t="shared" si="1056"/>
        <v>PJ/yr.</v>
      </c>
      <c r="F1721" s="1">
        <f t="shared" si="1057"/>
        <v>0</v>
      </c>
      <c r="G1721" s="1">
        <f t="shared" si="1057"/>
        <v>0</v>
      </c>
      <c r="H1721" s="1">
        <f t="shared" si="1057"/>
        <v>0</v>
      </c>
      <c r="I1721" s="1">
        <f t="shared" si="1057"/>
        <v>0</v>
      </c>
      <c r="J1721" s="1">
        <f t="shared" si="1057"/>
        <v>0.39635824479909498</v>
      </c>
      <c r="K1721" s="1">
        <f t="shared" si="1057"/>
        <v>5.5956143612867493E-5</v>
      </c>
    </row>
    <row r="1722" spans="2:11" x14ac:dyDescent="0.25">
      <c r="B1722" t="str">
        <f t="shared" si="1058"/>
        <v>SPS4</v>
      </c>
      <c r="C1722" t="str">
        <f t="shared" si="1055"/>
        <v>CH</v>
      </c>
      <c r="D1722" t="s">
        <v>1754</v>
      </c>
      <c r="E1722" t="str">
        <f t="shared" si="1056"/>
        <v>PJ/yr.</v>
      </c>
      <c r="F1722" s="1">
        <f t="shared" si="1057"/>
        <v>0</v>
      </c>
      <c r="G1722" s="1">
        <f t="shared" si="1057"/>
        <v>0</v>
      </c>
      <c r="H1722" s="1">
        <f t="shared" si="1057"/>
        <v>0</v>
      </c>
      <c r="I1722" s="1">
        <f t="shared" si="1057"/>
        <v>0</v>
      </c>
      <c r="J1722" s="1">
        <f t="shared" si="1057"/>
        <v>0.39635824479909498</v>
      </c>
      <c r="K1722" s="1">
        <f t="shared" si="1057"/>
        <v>5.5956143612867493E-5</v>
      </c>
    </row>
    <row r="1723" spans="2:11" x14ac:dyDescent="0.25">
      <c r="B1723" t="str">
        <f t="shared" si="1058"/>
        <v>SPS4</v>
      </c>
      <c r="C1723" t="str">
        <f t="shared" si="1055"/>
        <v>CH</v>
      </c>
      <c r="D1723" t="s">
        <v>1755</v>
      </c>
      <c r="E1723" t="str">
        <f t="shared" si="1056"/>
        <v>PJ/yr.</v>
      </c>
      <c r="F1723" s="1">
        <f t="shared" si="1057"/>
        <v>0</v>
      </c>
      <c r="G1723" s="1">
        <f t="shared" si="1057"/>
        <v>0</v>
      </c>
      <c r="H1723" s="1">
        <f t="shared" si="1057"/>
        <v>0</v>
      </c>
      <c r="I1723" s="1">
        <f t="shared" si="1057"/>
        <v>0</v>
      </c>
      <c r="J1723" s="1">
        <f t="shared" si="1057"/>
        <v>0</v>
      </c>
      <c r="K1723" s="1">
        <f t="shared" si="1057"/>
        <v>0</v>
      </c>
    </row>
    <row r="1724" spans="2:11" x14ac:dyDescent="0.25">
      <c r="B1724" t="str">
        <f t="shared" si="1058"/>
        <v>SPS4</v>
      </c>
      <c r="C1724" t="str">
        <f t="shared" si="1055"/>
        <v>CH</v>
      </c>
      <c r="D1724" t="s">
        <v>1756</v>
      </c>
      <c r="E1724" t="str">
        <f t="shared" si="1056"/>
        <v>PJ/yr.</v>
      </c>
      <c r="F1724" s="1">
        <f t="shared" si="1057"/>
        <v>0</v>
      </c>
      <c r="G1724" s="1">
        <f t="shared" si="1057"/>
        <v>0</v>
      </c>
      <c r="H1724" s="1">
        <f t="shared" si="1057"/>
        <v>0</v>
      </c>
      <c r="I1724" s="1">
        <f t="shared" si="1057"/>
        <v>0</v>
      </c>
      <c r="J1724" s="1">
        <f t="shared" si="1057"/>
        <v>0</v>
      </c>
      <c r="K1724" s="1">
        <f t="shared" si="1057"/>
        <v>0</v>
      </c>
    </row>
    <row r="1725" spans="2:11" x14ac:dyDescent="0.25">
      <c r="B1725" t="str">
        <f t="shared" si="1058"/>
        <v>SPS4</v>
      </c>
      <c r="C1725" t="str">
        <f t="shared" si="1055"/>
        <v>CH</v>
      </c>
      <c r="D1725" t="s">
        <v>1757</v>
      </c>
      <c r="E1725" t="str">
        <f t="shared" si="1056"/>
        <v>PJ/yr.</v>
      </c>
      <c r="F1725" s="1">
        <f t="shared" si="1057"/>
        <v>117.0020852666234</v>
      </c>
      <c r="G1725" s="1">
        <f t="shared" si="1057"/>
        <v>106.83188971996834</v>
      </c>
      <c r="H1725" s="1">
        <f t="shared" si="1057"/>
        <v>108.93319017627653</v>
      </c>
      <c r="I1725" s="1">
        <f t="shared" si="1057"/>
        <v>107.3829897295317</v>
      </c>
      <c r="J1725" s="1">
        <f t="shared" si="1057"/>
        <v>79.371384599087108</v>
      </c>
      <c r="K1725" s="1">
        <f t="shared" si="1057"/>
        <v>52.689224697889145</v>
      </c>
    </row>
    <row r="1726" spans="2:11" x14ac:dyDescent="0.25">
      <c r="B1726" t="str">
        <f t="shared" si="1058"/>
        <v>SPS4</v>
      </c>
      <c r="C1726" t="str">
        <f t="shared" si="1055"/>
        <v>CH</v>
      </c>
      <c r="D1726" t="s">
        <v>1758</v>
      </c>
      <c r="E1726" t="str">
        <f t="shared" si="1056"/>
        <v>PJ/yr.</v>
      </c>
      <c r="F1726" s="1">
        <f t="shared" si="1057"/>
        <v>117.0020852666234</v>
      </c>
      <c r="G1726" s="1">
        <f t="shared" si="1057"/>
        <v>106.71999990040375</v>
      </c>
      <c r="H1726" s="1">
        <f t="shared" si="1057"/>
        <v>108.30175106928201</v>
      </c>
      <c r="I1726" s="1">
        <f t="shared" si="1057"/>
        <v>106.66199473314491</v>
      </c>
      <c r="J1726" s="1">
        <f t="shared" si="1057"/>
        <v>78.049389329411952</v>
      </c>
      <c r="K1726" s="1">
        <f t="shared" si="1057"/>
        <v>48.67607300426004</v>
      </c>
    </row>
    <row r="1727" spans="2:11" x14ac:dyDescent="0.25">
      <c r="B1727" t="str">
        <f t="shared" si="1058"/>
        <v>SPS4</v>
      </c>
      <c r="C1727" t="str">
        <f t="shared" si="1055"/>
        <v>CH</v>
      </c>
      <c r="D1727" t="s">
        <v>1759</v>
      </c>
      <c r="E1727" t="str">
        <f t="shared" si="1056"/>
        <v>PJ/yr.</v>
      </c>
      <c r="F1727" s="1">
        <f t="shared" si="1057"/>
        <v>117.0020852666234</v>
      </c>
      <c r="G1727" s="1">
        <f t="shared" si="1057"/>
        <v>106.71999990040375</v>
      </c>
      <c r="H1727" s="1">
        <f t="shared" si="1057"/>
        <v>108.30175106928201</v>
      </c>
      <c r="I1727" s="1">
        <f t="shared" si="1057"/>
        <v>106.66153969256575</v>
      </c>
      <c r="J1727" s="1">
        <f t="shared" si="1057"/>
        <v>78.048740787350468</v>
      </c>
      <c r="K1727" s="1">
        <f t="shared" si="1057"/>
        <v>48.675717937303283</v>
      </c>
    </row>
    <row r="1728" spans="2:11" x14ac:dyDescent="0.25">
      <c r="B1728" t="str">
        <f t="shared" si="1058"/>
        <v>SPS4</v>
      </c>
      <c r="C1728" t="str">
        <f t="shared" si="1055"/>
        <v>CH</v>
      </c>
      <c r="D1728" t="s">
        <v>1760</v>
      </c>
      <c r="E1728" t="str">
        <f t="shared" si="1056"/>
        <v>PJ/yr.</v>
      </c>
      <c r="F1728" s="1">
        <f t="shared" si="1057"/>
        <v>0</v>
      </c>
      <c r="G1728" s="1">
        <f t="shared" si="1057"/>
        <v>0</v>
      </c>
      <c r="H1728" s="1">
        <f t="shared" si="1057"/>
        <v>0</v>
      </c>
      <c r="I1728" s="1">
        <f t="shared" si="1057"/>
        <v>4.5504057915017826E-4</v>
      </c>
      <c r="J1728" s="1">
        <f t="shared" si="1057"/>
        <v>6.4854206148598471E-4</v>
      </c>
      <c r="K1728" s="1">
        <f t="shared" si="1057"/>
        <v>3.5506695675961925E-4</v>
      </c>
    </row>
    <row r="1729" spans="2:11" x14ac:dyDescent="0.25">
      <c r="B1729" t="str">
        <f t="shared" si="1058"/>
        <v>SPS4</v>
      </c>
      <c r="C1729" t="str">
        <f t="shared" si="1055"/>
        <v>CH</v>
      </c>
      <c r="D1729" t="s">
        <v>1761</v>
      </c>
      <c r="E1729" t="str">
        <f t="shared" si="1056"/>
        <v>PJ/yr.</v>
      </c>
      <c r="F1729" s="1">
        <f t="shared" si="1057"/>
        <v>0</v>
      </c>
      <c r="G1729" s="1">
        <f t="shared" si="1057"/>
        <v>0.11188981956459397</v>
      </c>
      <c r="H1729" s="1">
        <f t="shared" si="1057"/>
        <v>0.63143910699451566</v>
      </c>
      <c r="I1729" s="1">
        <f t="shared" si="1057"/>
        <v>0.72099499638679754</v>
      </c>
      <c r="J1729" s="1">
        <f t="shared" si="1057"/>
        <v>1.3219952696751602</v>
      </c>
      <c r="K1729" s="1">
        <f t="shared" si="1057"/>
        <v>4.0131516936291076</v>
      </c>
    </row>
    <row r="1730" spans="2:11" x14ac:dyDescent="0.25">
      <c r="B1730" t="str">
        <f t="shared" si="1058"/>
        <v>SPS4</v>
      </c>
      <c r="C1730" t="str">
        <f t="shared" si="1055"/>
        <v>CH</v>
      </c>
      <c r="D1730" t="s">
        <v>1762</v>
      </c>
      <c r="E1730" t="str">
        <f t="shared" si="1056"/>
        <v>PJ/yr.</v>
      </c>
      <c r="F1730" s="1">
        <f t="shared" si="1057"/>
        <v>0</v>
      </c>
      <c r="G1730" s="1">
        <f t="shared" si="1057"/>
        <v>0.11188981956459397</v>
      </c>
      <c r="H1730" s="1">
        <f t="shared" si="1057"/>
        <v>0.63143910699451566</v>
      </c>
      <c r="I1730" s="1">
        <f t="shared" si="1057"/>
        <v>0.72099499638679754</v>
      </c>
      <c r="J1730" s="1">
        <f t="shared" si="1057"/>
        <v>0.72099499638679754</v>
      </c>
      <c r="K1730" s="1">
        <f t="shared" si="1057"/>
        <v>1.3219952696751602</v>
      </c>
    </row>
    <row r="1731" spans="2:11" x14ac:dyDescent="0.25">
      <c r="B1731" t="str">
        <f t="shared" si="1058"/>
        <v>SPS4</v>
      </c>
      <c r="C1731" t="str">
        <f t="shared" si="1055"/>
        <v>CH</v>
      </c>
      <c r="D1731" t="s">
        <v>1763</v>
      </c>
      <c r="E1731" t="str">
        <f t="shared" si="1056"/>
        <v>PJ/yr.</v>
      </c>
      <c r="F1731" s="1">
        <f t="shared" si="1057"/>
        <v>0</v>
      </c>
      <c r="G1731" s="1">
        <f t="shared" si="1057"/>
        <v>0.11188981956459397</v>
      </c>
      <c r="H1731" s="1">
        <f t="shared" si="1057"/>
        <v>0.63143910699451566</v>
      </c>
      <c r="I1731" s="1">
        <f t="shared" si="1057"/>
        <v>0.72099499638679754</v>
      </c>
      <c r="J1731" s="1">
        <f t="shared" si="1057"/>
        <v>0.72099499638679754</v>
      </c>
      <c r="K1731" s="1">
        <f t="shared" si="1057"/>
        <v>1.3219952696751602</v>
      </c>
    </row>
    <row r="1732" spans="2:11" x14ac:dyDescent="0.25">
      <c r="B1732" t="str">
        <f t="shared" si="1058"/>
        <v>SPS4</v>
      </c>
      <c r="C1732" t="str">
        <f t="shared" si="1055"/>
        <v>CH</v>
      </c>
      <c r="D1732" t="s">
        <v>1764</v>
      </c>
      <c r="E1732" t="str">
        <f t="shared" si="1056"/>
        <v>PJ/yr.</v>
      </c>
      <c r="F1732" s="1">
        <f t="shared" si="1057"/>
        <v>0</v>
      </c>
      <c r="G1732" s="1">
        <f t="shared" si="1057"/>
        <v>0</v>
      </c>
      <c r="H1732" s="1">
        <f t="shared" si="1057"/>
        <v>0</v>
      </c>
      <c r="I1732" s="1">
        <f t="shared" si="1057"/>
        <v>0</v>
      </c>
      <c r="J1732" s="1">
        <f t="shared" si="1057"/>
        <v>0.6010002732883627</v>
      </c>
      <c r="K1732" s="1">
        <f t="shared" si="1057"/>
        <v>2.6911564239539474</v>
      </c>
    </row>
    <row r="1733" spans="2:11" x14ac:dyDescent="0.25">
      <c r="B1733" t="str">
        <f t="shared" si="1058"/>
        <v>SPS4</v>
      </c>
      <c r="C1733" t="str">
        <f t="shared" si="1055"/>
        <v>CH</v>
      </c>
      <c r="D1733" t="s">
        <v>1765</v>
      </c>
      <c r="E1733" t="str">
        <f t="shared" si="1056"/>
        <v>PJ/yr.</v>
      </c>
      <c r="F1733" s="1">
        <f t="shared" si="1057"/>
        <v>0</v>
      </c>
      <c r="G1733" s="1">
        <f t="shared" si="1057"/>
        <v>0</v>
      </c>
      <c r="H1733" s="1">
        <f t="shared" si="1057"/>
        <v>0</v>
      </c>
      <c r="I1733" s="1">
        <f t="shared" si="1057"/>
        <v>0</v>
      </c>
      <c r="J1733" s="1">
        <f t="shared" si="1057"/>
        <v>0.6010002732883627</v>
      </c>
      <c r="K1733" s="1">
        <f t="shared" si="1057"/>
        <v>2.6911564239539474</v>
      </c>
    </row>
    <row r="1734" spans="2:11" x14ac:dyDescent="0.25">
      <c r="B1734" t="str">
        <f t="shared" si="1058"/>
        <v>SPS4</v>
      </c>
      <c r="C1734" t="str">
        <f t="shared" si="1055"/>
        <v>CH</v>
      </c>
      <c r="D1734" t="s">
        <v>1766</v>
      </c>
      <c r="E1734" t="str">
        <f t="shared" si="1056"/>
        <v>PJ/yr.</v>
      </c>
      <c r="F1734" s="1">
        <f t="shared" si="1057"/>
        <v>250.94817287120787</v>
      </c>
      <c r="G1734" s="1">
        <f t="shared" si="1057"/>
        <v>253.29982394302303</v>
      </c>
      <c r="H1734" s="1">
        <f t="shared" si="1057"/>
        <v>215.8177884421992</v>
      </c>
      <c r="I1734" s="1">
        <f t="shared" si="1057"/>
        <v>209.65777737863678</v>
      </c>
      <c r="J1734" s="1">
        <f t="shared" si="1057"/>
        <v>98.94549837349372</v>
      </c>
      <c r="K1734" s="1">
        <f t="shared" si="1057"/>
        <v>0</v>
      </c>
    </row>
    <row r="1735" spans="2:11" x14ac:dyDescent="0.25">
      <c r="B1735" t="str">
        <f t="shared" si="1058"/>
        <v>SPS4</v>
      </c>
      <c r="C1735" t="str">
        <f t="shared" si="1055"/>
        <v>CH</v>
      </c>
      <c r="D1735" t="s">
        <v>1767</v>
      </c>
      <c r="E1735" t="str">
        <f t="shared" si="1056"/>
        <v>PJ/yr.</v>
      </c>
      <c r="F1735" s="1">
        <f>-F56+F49</f>
        <v>-20.010001622239898</v>
      </c>
      <c r="G1735" s="1">
        <f t="shared" ref="G1735:K1735" si="1059">-G56+G49</f>
        <v>14.847829541955562</v>
      </c>
      <c r="H1735" s="1">
        <f t="shared" si="1059"/>
        <v>-4.3440748476852065</v>
      </c>
      <c r="I1735" s="1">
        <f t="shared" si="1059"/>
        <v>-4.8677081003097697</v>
      </c>
      <c r="J1735" s="1">
        <f t="shared" si="1059"/>
        <v>23.060060038261163</v>
      </c>
      <c r="K1735" s="1">
        <f t="shared" si="1059"/>
        <v>22.620252762338289</v>
      </c>
    </row>
    <row r="1736" spans="2:11" x14ac:dyDescent="0.25">
      <c r="B1736" t="str">
        <f t="shared" si="1058"/>
        <v>SPS4</v>
      </c>
      <c r="C1736" t="str">
        <f t="shared" si="1055"/>
        <v>CH</v>
      </c>
      <c r="D1736" t="s">
        <v>1768</v>
      </c>
      <c r="E1736" t="str">
        <f t="shared" si="1056"/>
        <v>PJ/yr.</v>
      </c>
      <c r="F1736" s="1">
        <f>F54</f>
        <v>0</v>
      </c>
      <c r="G1736" s="1">
        <f t="shared" ref="G1736:K1736" si="1060">G54</f>
        <v>0</v>
      </c>
      <c r="H1736" s="1">
        <f t="shared" si="1060"/>
        <v>0</v>
      </c>
      <c r="I1736" s="1">
        <f t="shared" si="1060"/>
        <v>0</v>
      </c>
      <c r="J1736" s="1">
        <f t="shared" si="1060"/>
        <v>0.22241212255204187</v>
      </c>
      <c r="K1736" s="1">
        <f t="shared" si="1060"/>
        <v>0.22241399737269177</v>
      </c>
    </row>
    <row r="1737" spans="2:11" x14ac:dyDescent="0.25">
      <c r="B1737" t="str">
        <f t="shared" si="1058"/>
        <v>SPS4</v>
      </c>
      <c r="C1737" t="str">
        <f t="shared" si="1055"/>
        <v>CH</v>
      </c>
      <c r="D1737" t="s">
        <v>1770</v>
      </c>
      <c r="E1737" t="str">
        <f>E3</f>
        <v>PJ/yr.</v>
      </c>
      <c r="F1737" s="1">
        <f>F3</f>
        <v>44.770002568998507</v>
      </c>
      <c r="G1737" s="1">
        <f t="shared" ref="G1737:K1737" si="1061">G3</f>
        <v>47.260900257065302</v>
      </c>
      <c r="H1737" s="1">
        <f t="shared" si="1061"/>
        <v>47.260902333034785</v>
      </c>
      <c r="I1737" s="1">
        <f t="shared" si="1061"/>
        <v>47.261353548396656</v>
      </c>
      <c r="J1737" s="1">
        <f t="shared" si="1061"/>
        <v>60.108686320491842</v>
      </c>
      <c r="K1737" s="1">
        <f t="shared" si="1061"/>
        <v>63.75564791863485</v>
      </c>
    </row>
    <row r="1738" spans="2:11" x14ac:dyDescent="0.25">
      <c r="B1738" t="str">
        <f t="shared" si="1058"/>
        <v>SPS4</v>
      </c>
      <c r="C1738" t="str">
        <f t="shared" si="1055"/>
        <v>CH</v>
      </c>
      <c r="D1738" t="s">
        <v>1771</v>
      </c>
      <c r="E1738" t="str">
        <f t="shared" ref="E1738:F1738" si="1062">E4</f>
        <v>PJ/yr.</v>
      </c>
      <c r="F1738" s="1">
        <f t="shared" si="1062"/>
        <v>10.18234030753838</v>
      </c>
      <c r="G1738" s="1">
        <f t="shared" ref="G1738:K1738" si="1063">G4</f>
        <v>11.15295060373098</v>
      </c>
      <c r="H1738" s="1">
        <f t="shared" si="1063"/>
        <v>12.608866604101053</v>
      </c>
      <c r="I1738" s="1">
        <f t="shared" si="1063"/>
        <v>15.035394262025742</v>
      </c>
      <c r="J1738" s="1">
        <f t="shared" si="1063"/>
        <v>17.461922303487643</v>
      </c>
      <c r="K1738" s="1">
        <f t="shared" si="1063"/>
        <v>17.46192218127749</v>
      </c>
    </row>
    <row r="1739" spans="2:11" x14ac:dyDescent="0.25">
      <c r="B1739" t="str">
        <f t="shared" si="1058"/>
        <v>SPS4</v>
      </c>
      <c r="C1739" t="str">
        <f t="shared" si="1055"/>
        <v>CH</v>
      </c>
      <c r="D1739" t="s">
        <v>1772</v>
      </c>
      <c r="E1739" t="str">
        <f t="shared" ref="E1739:F1739" si="1064">E5</f>
        <v>PJ/yr.</v>
      </c>
      <c r="F1739" s="1">
        <f t="shared" si="1064"/>
        <v>7.4592172478086747</v>
      </c>
      <c r="G1739" s="1">
        <f t="shared" ref="G1739:K1739" si="1065">G5</f>
        <v>8.0030403435808921</v>
      </c>
      <c r="H1739" s="1">
        <f t="shared" si="1065"/>
        <v>8.8187755314480611</v>
      </c>
      <c r="I1739" s="1">
        <f t="shared" si="1065"/>
        <v>10.17833505267023</v>
      </c>
      <c r="J1739" s="1">
        <f t="shared" si="1065"/>
        <v>10.230788177722225</v>
      </c>
      <c r="K1739" s="1">
        <f t="shared" si="1065"/>
        <v>7.6165741027374994</v>
      </c>
    </row>
    <row r="1740" spans="2:11" x14ac:dyDescent="0.25">
      <c r="B1740" t="str">
        <f t="shared" si="1058"/>
        <v>SPS4</v>
      </c>
      <c r="C1740" t="str">
        <f t="shared" si="1055"/>
        <v>CH</v>
      </c>
      <c r="D1740" t="s">
        <v>1773</v>
      </c>
      <c r="E1740" t="str">
        <f t="shared" ref="E1740:F1740" si="1066">E6</f>
        <v>PJ/yr.</v>
      </c>
      <c r="F1740" s="1">
        <f t="shared" si="1066"/>
        <v>2.6225292823729633</v>
      </c>
      <c r="G1740" s="1">
        <f t="shared" ref="G1740:K1740" si="1067">G6</f>
        <v>3.2650043623440919</v>
      </c>
      <c r="H1740" s="1">
        <f t="shared" si="1067"/>
        <v>4.2287178949855697</v>
      </c>
      <c r="I1740" s="1">
        <f t="shared" si="1067"/>
        <v>5.8349084892729106</v>
      </c>
      <c r="J1740" s="1">
        <f t="shared" si="1067"/>
        <v>6.3806232588142242</v>
      </c>
      <c r="K1740" s="1">
        <f t="shared" si="1067"/>
        <v>4.259671371890704</v>
      </c>
    </row>
    <row r="1741" spans="2:11" x14ac:dyDescent="0.25">
      <c r="B1741" t="str">
        <f t="shared" si="1058"/>
        <v>SPS4</v>
      </c>
      <c r="C1741" t="str">
        <f t="shared" si="1055"/>
        <v>CH</v>
      </c>
      <c r="D1741" t="s">
        <v>1774</v>
      </c>
      <c r="E1741" t="str">
        <f t="shared" ref="E1741:F1741" si="1068">E7</f>
        <v>PJ/yr.</v>
      </c>
      <c r="F1741" s="1">
        <f t="shared" si="1068"/>
        <v>24.505915731278488</v>
      </c>
      <c r="G1741" s="1">
        <f t="shared" ref="G1741:K1741" si="1069">G7</f>
        <v>24.839904947409334</v>
      </c>
      <c r="H1741" s="1">
        <f t="shared" si="1069"/>
        <v>21.6045423025001</v>
      </c>
      <c r="I1741" s="1">
        <f t="shared" si="1069"/>
        <v>16.212715744427779</v>
      </c>
      <c r="J1741" s="1">
        <f t="shared" si="1069"/>
        <v>26.035352580467752</v>
      </c>
      <c r="K1741" s="1">
        <f t="shared" si="1069"/>
        <v>34.417480262729157</v>
      </c>
    </row>
    <row r="1742" spans="2:11" x14ac:dyDescent="0.25">
      <c r="B1742" t="str">
        <f t="shared" si="1058"/>
        <v>SPS4</v>
      </c>
      <c r="C1742" t="str">
        <f t="shared" si="1055"/>
        <v>CH</v>
      </c>
      <c r="D1742" t="s">
        <v>1775</v>
      </c>
      <c r="E1742" t="str">
        <f t="shared" ref="E1742:F1742" si="1070">E8</f>
        <v>PJ/yr.</v>
      </c>
      <c r="F1742" s="1">
        <f t="shared" si="1070"/>
        <v>69.392869859077436</v>
      </c>
      <c r="G1742" s="1">
        <f t="shared" ref="G1742:K1742" si="1071">G8</f>
        <v>69.663484163712269</v>
      </c>
      <c r="H1742" s="1">
        <f t="shared" si="1071"/>
        <v>69.270574379008593</v>
      </c>
      <c r="I1742" s="1">
        <f t="shared" si="1071"/>
        <v>68.821067405081877</v>
      </c>
      <c r="J1742" s="1">
        <f t="shared" si="1071"/>
        <v>68.940560797504276</v>
      </c>
      <c r="K1742" s="1">
        <f t="shared" si="1071"/>
        <v>69.384321861587154</v>
      </c>
    </row>
    <row r="1743" spans="2:11" x14ac:dyDescent="0.25">
      <c r="B1743" t="str">
        <f t="shared" si="1058"/>
        <v>SPS4</v>
      </c>
      <c r="C1743" t="str">
        <f t="shared" si="1055"/>
        <v>CH</v>
      </c>
      <c r="D1743" t="s">
        <v>1776</v>
      </c>
      <c r="E1743" t="str">
        <f t="shared" ref="E1743:F1743" si="1072">E9</f>
        <v>PJ/yr.</v>
      </c>
      <c r="F1743" s="1">
        <f t="shared" si="1072"/>
        <v>35.611767962170134</v>
      </c>
      <c r="G1743" s="1">
        <f t="shared" ref="G1743:K1743" si="1073">G9</f>
        <v>35.882382865449536</v>
      </c>
      <c r="H1743" s="1">
        <f t="shared" si="1073"/>
        <v>35.489472925590491</v>
      </c>
      <c r="I1743" s="1">
        <f t="shared" si="1073"/>
        <v>35.039965152075986</v>
      </c>
      <c r="J1743" s="1">
        <f t="shared" si="1073"/>
        <v>35.159448166941985</v>
      </c>
      <c r="K1743" s="1">
        <f t="shared" si="1073"/>
        <v>35.603175499077594</v>
      </c>
    </row>
    <row r="1744" spans="2:11" x14ac:dyDescent="0.25">
      <c r="B1744" t="str">
        <f t="shared" si="1058"/>
        <v>SPS4</v>
      </c>
      <c r="C1744" t="str">
        <f t="shared" si="1055"/>
        <v>CH</v>
      </c>
      <c r="D1744" t="s">
        <v>1777</v>
      </c>
      <c r="E1744" t="str">
        <f t="shared" ref="E1744:F1744" si="1074">E10</f>
        <v>PJ/yr.</v>
      </c>
      <c r="F1744" s="1">
        <f t="shared" si="1074"/>
        <v>33.781101896907302</v>
      </c>
      <c r="G1744" s="1">
        <f t="shared" ref="G1744:K1744" si="1075">G10</f>
        <v>33.781101298262733</v>
      </c>
      <c r="H1744" s="1">
        <f t="shared" si="1075"/>
        <v>33.781101453418103</v>
      </c>
      <c r="I1744" s="1">
        <f t="shared" si="1075"/>
        <v>33.781102253005891</v>
      </c>
      <c r="J1744" s="1">
        <f t="shared" si="1075"/>
        <v>33.781112630562291</v>
      </c>
      <c r="K1744" s="1">
        <f t="shared" si="1075"/>
        <v>33.78114636250956</v>
      </c>
    </row>
    <row r="1745" spans="2:11" x14ac:dyDescent="0.25">
      <c r="B1745" t="str">
        <f t="shared" si="1058"/>
        <v>SPS4</v>
      </c>
      <c r="C1745" t="str">
        <f t="shared" si="1055"/>
        <v>CH</v>
      </c>
      <c r="D1745" t="s">
        <v>1778</v>
      </c>
      <c r="E1745" t="str">
        <f t="shared" ref="E1745:F1745" si="1076">E11</f>
        <v>PJ/yr.</v>
      </c>
      <c r="F1745" s="1">
        <f t="shared" si="1076"/>
        <v>3.7980852578499023</v>
      </c>
      <c r="G1745" s="1">
        <f t="shared" ref="G1745:K1745" si="1077">G11</f>
        <v>10.53613548707494</v>
      </c>
      <c r="H1745" s="1">
        <f t="shared" si="1077"/>
        <v>10.536628308361355</v>
      </c>
      <c r="I1745" s="1">
        <f t="shared" si="1077"/>
        <v>14.741684845067226</v>
      </c>
      <c r="J1745" s="1">
        <f t="shared" si="1077"/>
        <v>21.582233450318377</v>
      </c>
      <c r="K1745" s="1">
        <f t="shared" si="1077"/>
        <v>26.999996725975773</v>
      </c>
    </row>
    <row r="1746" spans="2:11" x14ac:dyDescent="0.25">
      <c r="B1746" t="str">
        <f t="shared" si="1058"/>
        <v>SPS4</v>
      </c>
      <c r="C1746" t="str">
        <f t="shared" si="1055"/>
        <v>CH</v>
      </c>
      <c r="D1746" t="s">
        <v>1779</v>
      </c>
      <c r="E1746" t="str">
        <f t="shared" ref="E1746:F1746" si="1078">E12</f>
        <v>PJ/yr.</v>
      </c>
      <c r="F1746" s="1">
        <f t="shared" si="1078"/>
        <v>149.43048155513719</v>
      </c>
      <c r="G1746" s="1">
        <f t="shared" ref="G1746:K1746" si="1079">G12</f>
        <v>125.60530121745145</v>
      </c>
      <c r="H1746" s="1">
        <f t="shared" si="1079"/>
        <v>192.8451482410442</v>
      </c>
      <c r="I1746" s="1">
        <f t="shared" si="1079"/>
        <v>150.38556575195361</v>
      </c>
      <c r="J1746" s="1">
        <f t="shared" si="1079"/>
        <v>151.23325847618054</v>
      </c>
      <c r="K1746" s="1">
        <f t="shared" si="1079"/>
        <v>151.73914059274364</v>
      </c>
    </row>
    <row r="1747" spans="2:11" x14ac:dyDescent="0.25">
      <c r="B1747" t="str">
        <f t="shared" si="1058"/>
        <v>SPS4</v>
      </c>
      <c r="C1747" t="str">
        <f t="shared" si="1055"/>
        <v>CH</v>
      </c>
      <c r="D1747" t="s">
        <v>1780</v>
      </c>
      <c r="E1747" t="str">
        <f t="shared" ref="E1747:F1747" si="1080">E13</f>
        <v>PJ/yr.</v>
      </c>
      <c r="F1747" s="1">
        <f t="shared" si="1080"/>
        <v>66.745679999930999</v>
      </c>
      <c r="G1747" s="1">
        <f t="shared" ref="G1747:K1747" si="1081">G13</f>
        <v>49.798800988665533</v>
      </c>
      <c r="H1747" s="1">
        <f t="shared" si="1081"/>
        <v>68.536815682906209</v>
      </c>
      <c r="I1747" s="1">
        <f t="shared" si="1081"/>
        <v>70.225171135770708</v>
      </c>
      <c r="J1747" s="1">
        <f t="shared" si="1081"/>
        <v>72.772887627226268</v>
      </c>
      <c r="K1747" s="1">
        <f t="shared" si="1081"/>
        <v>69.178233945386481</v>
      </c>
    </row>
    <row r="1748" spans="2:11" x14ac:dyDescent="0.25">
      <c r="B1748" t="str">
        <f t="shared" si="1058"/>
        <v>SPS4</v>
      </c>
      <c r="C1748" t="str">
        <f t="shared" si="1055"/>
        <v>CH</v>
      </c>
      <c r="D1748" t="s">
        <v>1781</v>
      </c>
      <c r="E1748" t="str">
        <f t="shared" ref="E1748:F1748" si="1082">E14</f>
        <v>PJ/yr.</v>
      </c>
      <c r="F1748" s="1">
        <f t="shared" si="1082"/>
        <v>66.632400240500999</v>
      </c>
      <c r="G1748" s="1">
        <f t="shared" ref="G1748:K1748" si="1083">G14</f>
        <v>55.764002585785605</v>
      </c>
      <c r="H1748" s="1">
        <f t="shared" si="1083"/>
        <v>65.54852505634905</v>
      </c>
      <c r="I1748" s="1">
        <f t="shared" si="1083"/>
        <v>64.464360078239537</v>
      </c>
      <c r="J1748" s="1">
        <f t="shared" si="1083"/>
        <v>62.540333935611407</v>
      </c>
      <c r="K1748" s="1">
        <f t="shared" si="1083"/>
        <v>66.134977866950578</v>
      </c>
    </row>
    <row r="1749" spans="2:11" x14ac:dyDescent="0.25">
      <c r="B1749" t="str">
        <f t="shared" si="1058"/>
        <v>SPS4</v>
      </c>
      <c r="C1749" t="str">
        <f t="shared" si="1055"/>
        <v>CH</v>
      </c>
      <c r="D1749" t="s">
        <v>1782</v>
      </c>
      <c r="E1749" t="str">
        <f t="shared" ref="E1749:F1749" si="1084">E15</f>
        <v>PJ/yr.</v>
      </c>
      <c r="F1749" s="1">
        <f t="shared" si="1084"/>
        <v>16.052401314705218</v>
      </c>
      <c r="G1749" s="1">
        <f t="shared" ref="G1749:K1749" si="1085">G15</f>
        <v>20.042497643000324</v>
      </c>
      <c r="H1749" s="1">
        <f t="shared" si="1085"/>
        <v>58.759807501788949</v>
      </c>
      <c r="I1749" s="1">
        <f t="shared" si="1085"/>
        <v>15.69603453794338</v>
      </c>
      <c r="J1749" s="1">
        <f t="shared" si="1085"/>
        <v>15.920036913342878</v>
      </c>
      <c r="K1749" s="1">
        <f t="shared" si="1085"/>
        <v>16.425928780406593</v>
      </c>
    </row>
    <row r="1750" spans="2:11" x14ac:dyDescent="0.25">
      <c r="B1750" t="str">
        <f t="shared" si="1058"/>
        <v>SPS4</v>
      </c>
      <c r="C1750" t="str">
        <f t="shared" si="1055"/>
        <v>CH</v>
      </c>
      <c r="D1750" t="s">
        <v>1783</v>
      </c>
      <c r="E1750" t="str">
        <f t="shared" ref="E1750:F1750" si="1086">E16</f>
        <v>PJ/yr.</v>
      </c>
      <c r="F1750" s="1">
        <f t="shared" si="1086"/>
        <v>12.5564556997849</v>
      </c>
      <c r="G1750" s="1">
        <f t="shared" ref="G1750:K1750" si="1087">G16</f>
        <v>16.523406497406022</v>
      </c>
      <c r="H1750" s="1">
        <f t="shared" si="1087"/>
        <v>30.360525298571201</v>
      </c>
      <c r="I1750" s="1">
        <f t="shared" si="1087"/>
        <v>34.724793680267311</v>
      </c>
      <c r="J1750" s="1">
        <f t="shared" si="1087"/>
        <v>47.044501332929372</v>
      </c>
      <c r="K1750" s="1">
        <f t="shared" si="1087"/>
        <v>78.008105266705584</v>
      </c>
    </row>
    <row r="1751" spans="2:11" x14ac:dyDescent="0.25">
      <c r="B1751" t="str">
        <f t="shared" si="1058"/>
        <v>SPS4</v>
      </c>
      <c r="C1751" t="str">
        <f t="shared" si="1055"/>
        <v>CH</v>
      </c>
      <c r="D1751" t="s">
        <v>1784</v>
      </c>
      <c r="E1751" t="str">
        <f t="shared" ref="E1751:F1751" si="1088">E17</f>
        <v>PJ/yr.</v>
      </c>
      <c r="F1751" s="1">
        <f t="shared" si="1088"/>
        <v>0.52401467012432068</v>
      </c>
      <c r="G1751" s="1">
        <f t="shared" ref="G1751:K1751" si="1089">G17</f>
        <v>0.54529256595922093</v>
      </c>
      <c r="H1751" s="1">
        <f t="shared" si="1089"/>
        <v>0.50318546883184467</v>
      </c>
      <c r="I1751" s="1">
        <f t="shared" si="1089"/>
        <v>2.489821502322346</v>
      </c>
      <c r="J1751" s="1">
        <f t="shared" si="1089"/>
        <v>6.6693049856603936</v>
      </c>
      <c r="K1751" s="1">
        <f t="shared" si="1089"/>
        <v>13.338577415473088</v>
      </c>
    </row>
    <row r="1752" spans="2:11" x14ac:dyDescent="0.25">
      <c r="B1752" t="str">
        <f t="shared" si="1058"/>
        <v>SPS4</v>
      </c>
      <c r="C1752" t="str">
        <f t="shared" si="1055"/>
        <v>CH</v>
      </c>
      <c r="D1752" t="s">
        <v>1785</v>
      </c>
      <c r="E1752" t="str">
        <f t="shared" ref="E1752:F1752" si="1090">E18</f>
        <v>PJ/yr.</v>
      </c>
      <c r="F1752" s="1">
        <f t="shared" si="1090"/>
        <v>18.873037648312543</v>
      </c>
      <c r="G1752" s="1">
        <f t="shared" ref="G1752:K1752" si="1091">G18</f>
        <v>21.777404352733122</v>
      </c>
      <c r="H1752" s="1">
        <f t="shared" si="1091"/>
        <v>30.507432982539122</v>
      </c>
      <c r="I1752" s="1">
        <f t="shared" si="1091"/>
        <v>44.085772516778484</v>
      </c>
      <c r="J1752" s="1">
        <f t="shared" si="1091"/>
        <v>62.754953660703727</v>
      </c>
      <c r="K1752" s="1">
        <f t="shared" si="1091"/>
        <v>79.219911004723727</v>
      </c>
    </row>
    <row r="1753" spans="2:11" x14ac:dyDescent="0.25">
      <c r="B1753" t="str">
        <f t="shared" si="1058"/>
        <v>SPS4</v>
      </c>
      <c r="C1753" t="str">
        <f t="shared" si="1055"/>
        <v>CH</v>
      </c>
      <c r="D1753" t="s">
        <v>1786</v>
      </c>
      <c r="E1753" t="str">
        <f t="shared" ref="E1753:F1753" si="1092">E19</f>
        <v>PJ/yr.</v>
      </c>
      <c r="F1753" s="1">
        <f t="shared" si="1092"/>
        <v>0</v>
      </c>
      <c r="G1753" s="1">
        <f t="shared" ref="G1753:K1753" si="1093">G19</f>
        <v>0</v>
      </c>
      <c r="H1753" s="1">
        <f t="shared" si="1093"/>
        <v>0</v>
      </c>
      <c r="I1753" s="1">
        <f t="shared" si="1093"/>
        <v>0</v>
      </c>
      <c r="J1753" s="1">
        <f t="shared" si="1093"/>
        <v>3.3543064861073529E-2</v>
      </c>
      <c r="K1753" s="1">
        <f t="shared" si="1093"/>
        <v>3.3585273612433263E-2</v>
      </c>
    </row>
    <row r="1754" spans="2:11" x14ac:dyDescent="0.25">
      <c r="B1754" s="9" t="str">
        <f t="shared" si="1058"/>
        <v>SPS4</v>
      </c>
      <c r="C1754" s="2" t="str">
        <f t="shared" si="1055"/>
        <v>CH</v>
      </c>
      <c r="D1754" s="2" t="s">
        <v>1789</v>
      </c>
      <c r="E1754" s="2" t="s">
        <v>1858</v>
      </c>
      <c r="F1754" s="3">
        <f t="shared" ref="F1754:K1754" si="1094">SUM(F1755,F1757,F1761,F1765,F1781,F1788,F1796,F1798,F1806,F1810,F1804)</f>
        <v>22.317486375801739</v>
      </c>
      <c r="G1754" s="3">
        <f t="shared" si="1094"/>
        <v>24.534580788389675</v>
      </c>
      <c r="H1754" s="3">
        <f t="shared" si="1094"/>
        <v>29.309163019304783</v>
      </c>
      <c r="I1754" s="3">
        <f t="shared" si="1094"/>
        <v>29.935369149115111</v>
      </c>
      <c r="J1754" s="3">
        <f t="shared" si="1094"/>
        <v>33.415369846556302</v>
      </c>
      <c r="K1754" s="3">
        <f t="shared" si="1094"/>
        <v>43.182421628199485</v>
      </c>
    </row>
    <row r="1755" spans="2:11" x14ac:dyDescent="0.25">
      <c r="B1755" s="5" t="str">
        <f t="shared" si="1058"/>
        <v>SPS4</v>
      </c>
      <c r="C1755" s="5" t="str">
        <f t="shared" si="1055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095">+G1756</f>
        <v>3.0805587219222113</v>
      </c>
      <c r="H1755" s="1">
        <f t="shared" si="1095"/>
        <v>2.8402417135845561</v>
      </c>
      <c r="I1755" s="1">
        <f t="shared" si="1095"/>
        <v>2.6090415664829618</v>
      </c>
      <c r="J1755" s="1">
        <f t="shared" si="1095"/>
        <v>1.2356851844506809</v>
      </c>
      <c r="K1755" s="1">
        <f t="shared" si="1095"/>
        <v>0</v>
      </c>
    </row>
    <row r="1756" spans="2:11" x14ac:dyDescent="0.25">
      <c r="B1756" s="5" t="str">
        <f t="shared" si="1058"/>
        <v>SPS4</v>
      </c>
      <c r="C1756" s="5" t="str">
        <f t="shared" si="1055"/>
        <v>CH</v>
      </c>
      <c r="D1756" t="s">
        <v>1792</v>
      </c>
      <c r="E1756" t="str">
        <f t="shared" ref="E1756:E1817" si="1096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25">
      <c r="B1757" s="5" t="str">
        <f t="shared" si="1058"/>
        <v>SPS4</v>
      </c>
      <c r="C1757" s="5" t="str">
        <f t="shared" si="1055"/>
        <v>CH</v>
      </c>
      <c r="D1757" t="s">
        <v>1793</v>
      </c>
      <c r="E1757" t="str">
        <f t="shared" si="1096"/>
        <v>GWe/yr.</v>
      </c>
      <c r="F1757" s="1">
        <f>SUM(F1758:F1760)</f>
        <v>15.403610001059999</v>
      </c>
      <c r="G1757" s="1">
        <f t="shared" ref="G1757:K1757" si="1097">SUM(G1758:G1760)</f>
        <v>16.118953609802084</v>
      </c>
      <c r="H1757" s="1">
        <f t="shared" si="1097"/>
        <v>16.560991872019002</v>
      </c>
      <c r="I1757" s="1">
        <f t="shared" si="1097"/>
        <v>16.636825399869593</v>
      </c>
      <c r="J1757" s="1">
        <f t="shared" si="1097"/>
        <v>16.824038459270568</v>
      </c>
      <c r="K1757" s="1">
        <f t="shared" si="1097"/>
        <v>17.32683299587416</v>
      </c>
    </row>
    <row r="1758" spans="2:11" x14ac:dyDescent="0.25">
      <c r="B1758" s="5" t="str">
        <f t="shared" si="1058"/>
        <v>SPS4</v>
      </c>
      <c r="C1758" s="5" t="str">
        <f t="shared" si="1055"/>
        <v>CH</v>
      </c>
      <c r="D1758" t="s">
        <v>1794</v>
      </c>
      <c r="E1758" t="str">
        <f t="shared" si="1096"/>
        <v>GWe/yr.</v>
      </c>
      <c r="F1758" s="1">
        <f>'[1]Electricity and CHPs_CAP'!B$15</f>
        <v>7.3394300010600002</v>
      </c>
      <c r="G1758" s="1">
        <f>'[1]Electricity and CHPs_CAP'!C$15</f>
        <v>7.3405181668791197</v>
      </c>
      <c r="H1758" s="1">
        <f>'[1]Electricity and CHPs_CAP'!D$15</f>
        <v>7.3430481285267621</v>
      </c>
      <c r="I1758" s="1">
        <f>'[1]Electricity and CHPs_CAP'!E$15</f>
        <v>7.4150705009849096</v>
      </c>
      <c r="J1758" s="1">
        <f>'[1]Electricity and CHPs_CAP'!F$15</f>
        <v>7.5848263543768057</v>
      </c>
      <c r="K1758" s="1">
        <f>'[1]Electricity and CHPs_CAP'!G$15</f>
        <v>7.6722275175359718</v>
      </c>
    </row>
    <row r="1759" spans="2:11" x14ac:dyDescent="0.25">
      <c r="B1759" s="5" t="str">
        <f t="shared" si="1058"/>
        <v>SPS4</v>
      </c>
      <c r="C1759" s="5" t="str">
        <f t="shared" si="1055"/>
        <v>CH</v>
      </c>
      <c r="D1759" t="s">
        <v>1795</v>
      </c>
      <c r="E1759" t="str">
        <f t="shared" si="1096"/>
        <v>GWe/yr.</v>
      </c>
      <c r="F1759" s="1">
        <f>'[1]Electricity and CHPs_CAP'!B$16</f>
        <v>4.7247299999999992</v>
      </c>
      <c r="G1759" s="1">
        <f>'[1]Electricity and CHPs_CAP'!C$16</f>
        <v>4.807258775195594</v>
      </c>
      <c r="H1759" s="1">
        <f>'[1]Electricity and CHPs_CAP'!D$16</f>
        <v>4.8583456629745818</v>
      </c>
      <c r="I1759" s="1">
        <f>'[1]Electricity and CHPs_CAP'!E$16</f>
        <v>4.8621566896145207</v>
      </c>
      <c r="J1759" s="1">
        <f>'[1]Electricity and CHPs_CAP'!F$16</f>
        <v>4.8796127848516244</v>
      </c>
      <c r="K1759" s="1">
        <f>'[1]Electricity and CHPs_CAP'!G$16</f>
        <v>5.2950059965495413</v>
      </c>
    </row>
    <row r="1760" spans="2:11" x14ac:dyDescent="0.25">
      <c r="B1760" s="5" t="str">
        <f t="shared" si="1058"/>
        <v>SPS4</v>
      </c>
      <c r="C1760" s="5" t="str">
        <f t="shared" si="1055"/>
        <v>CH</v>
      </c>
      <c r="D1760" t="s">
        <v>1796</v>
      </c>
      <c r="E1760" t="str">
        <f t="shared" si="1096"/>
        <v>GWe/yr.</v>
      </c>
      <c r="F1760" s="1">
        <f>'[1]Electricity and CHPs_CAP'!B$17</f>
        <v>3.3394499999999998</v>
      </c>
      <c r="G1760" s="1">
        <f>'[1]Electricity and CHPs_CAP'!C$17</f>
        <v>3.9711766677273683</v>
      </c>
      <c r="H1760" s="1">
        <f>'[1]Electricity and CHPs_CAP'!D$17</f>
        <v>4.3595980805176575</v>
      </c>
      <c r="I1760" s="1">
        <f>'[1]Electricity and CHPs_CAP'!E$17</f>
        <v>4.3595982092701622</v>
      </c>
      <c r="J1760" s="1">
        <f>'[1]Electricity and CHPs_CAP'!F$17</f>
        <v>4.3595993200421388</v>
      </c>
      <c r="K1760" s="1">
        <f>'[1]Electricity and CHPs_CAP'!G$17</f>
        <v>4.3595994817886456</v>
      </c>
    </row>
    <row r="1761" spans="2:11" x14ac:dyDescent="0.25">
      <c r="B1761" s="5" t="str">
        <f t="shared" si="1058"/>
        <v>SPS4</v>
      </c>
      <c r="C1761" s="5" t="str">
        <f>C1752</f>
        <v>CH</v>
      </c>
      <c r="D1761" t="s">
        <v>1797</v>
      </c>
      <c r="E1761" t="str">
        <f t="shared" si="1096"/>
        <v>GWe/yr.</v>
      </c>
      <c r="F1761" s="1">
        <f>SUM(F1762:F1764)</f>
        <v>2.0205175226131904E-2</v>
      </c>
      <c r="G1761" s="1">
        <f t="shared" ref="G1761:K1761" si="1098">SUM(G1762:G1764)</f>
        <v>7.661973333208962E-3</v>
      </c>
      <c r="H1761" s="1">
        <f t="shared" si="1098"/>
        <v>8.9181478240333012E-3</v>
      </c>
      <c r="I1761" s="1">
        <f t="shared" si="1098"/>
        <v>2.3189631580369303E-2</v>
      </c>
      <c r="J1761" s="1">
        <f t="shared" si="1098"/>
        <v>6.5257566316877486E-2</v>
      </c>
      <c r="K1761" s="1">
        <f t="shared" si="1098"/>
        <v>9.3724587942467727E-2</v>
      </c>
    </row>
    <row r="1762" spans="2:11" x14ac:dyDescent="0.25">
      <c r="B1762" s="5" t="str">
        <f t="shared" si="1058"/>
        <v>SPS4</v>
      </c>
      <c r="C1762" s="5" t="str">
        <f>C1761</f>
        <v>CH</v>
      </c>
      <c r="D1762" t="s">
        <v>1798</v>
      </c>
      <c r="E1762" t="str">
        <f t="shared" si="1096"/>
        <v>GWe/yr.</v>
      </c>
      <c r="F1762" s="1">
        <f>'[1]Electricity and CHPs_CAP'!B$18</f>
        <v>1.0496743960131005E-2</v>
      </c>
      <c r="G1762" s="1">
        <f>'[1]Electricity and CHPs_CAP'!C$18</f>
        <v>7.3386194271395089E-4</v>
      </c>
      <c r="H1762" s="1">
        <f>'[1]Electricity and CHPs_CAP'!D$18</f>
        <v>7.3001541924561791E-4</v>
      </c>
      <c r="I1762" s="1">
        <f>'[1]Electricity and CHPs_CAP'!E$18</f>
        <v>7.2934086473993003E-4</v>
      </c>
      <c r="J1762" s="1">
        <f>'[1]Electricity and CHPs_CAP'!F$18</f>
        <v>9.6374135356846243E-4</v>
      </c>
      <c r="K1762" s="1">
        <f>'[1]Electricity and CHPs_CAP'!G$18</f>
        <v>2.3980733811629839E-4</v>
      </c>
    </row>
    <row r="1763" spans="2:11" x14ac:dyDescent="0.25">
      <c r="B1763" s="5" t="str">
        <f t="shared" si="1058"/>
        <v>SPS4</v>
      </c>
      <c r="C1763" s="5" t="str">
        <f t="shared" ref="B1763:C1764" si="1099">C1762</f>
        <v>CH</v>
      </c>
      <c r="D1763" t="s">
        <v>1799</v>
      </c>
      <c r="E1763" t="str">
        <f t="shared" si="1096"/>
        <v>GWe/yr.</v>
      </c>
      <c r="F1763" s="1">
        <f>'[1]Electricity and CHPs_CAP'!B$28</f>
        <v>1.40319951953948E-3</v>
      </c>
      <c r="G1763" s="1">
        <f>'[1]Electricity and CHPs_CAP'!C$28</f>
        <v>3.3711446614686537E-4</v>
      </c>
      <c r="H1763" s="1">
        <f>'[1]Electricity and CHPs_CAP'!D$28</f>
        <v>3.0067183080122184E-4</v>
      </c>
      <c r="I1763" s="1">
        <f>'[1]Electricity and CHPs_CAP'!E$28</f>
        <v>2.3093794926272275E-4</v>
      </c>
      <c r="J1763" s="1">
        <f>'[1]Electricity and CHPs_CAP'!F$28</f>
        <v>8.8096745058900282E-5</v>
      </c>
      <c r="K1763" s="1">
        <f>'[1]Electricity and CHPs_CAP'!G$28</f>
        <v>4.5943337072656811E-5</v>
      </c>
    </row>
    <row r="1764" spans="2:11" x14ac:dyDescent="0.25">
      <c r="B1764" s="5" t="str">
        <f t="shared" si="1058"/>
        <v>SPS4</v>
      </c>
      <c r="C1764" s="5" t="str">
        <f t="shared" si="1099"/>
        <v>CH</v>
      </c>
      <c r="D1764" t="s">
        <v>1800</v>
      </c>
      <c r="E1764" t="str">
        <f t="shared" si="1096"/>
        <v>GWe/yr.</v>
      </c>
      <c r="F1764" s="1">
        <f>'[1]Electricity and CHPs_CAP'!B$41</f>
        <v>8.3052317464614167E-3</v>
      </c>
      <c r="G1764" s="1">
        <f>'[1]Electricity and CHPs_CAP'!C$41</f>
        <v>6.5909969243481458E-3</v>
      </c>
      <c r="H1764" s="1">
        <f>'[1]Electricity and CHPs_CAP'!D$41</f>
        <v>7.8874605739864614E-3</v>
      </c>
      <c r="I1764" s="1">
        <f>'[1]Electricity and CHPs_CAP'!E$41</f>
        <v>2.2229352766366652E-2</v>
      </c>
      <c r="J1764" s="1">
        <f>'[1]Electricity and CHPs_CAP'!F$41</f>
        <v>6.4205728218250116E-2</v>
      </c>
      <c r="K1764" s="1">
        <f>'[1]Electricity and CHPs_CAP'!G$41</f>
        <v>9.3438837267278765E-2</v>
      </c>
    </row>
    <row r="1765" spans="2:11" x14ac:dyDescent="0.25">
      <c r="B1765" s="5" t="str">
        <f t="shared" si="1058"/>
        <v>SPS4</v>
      </c>
      <c r="C1765" s="5" t="str">
        <f>C1764</f>
        <v>CH</v>
      </c>
      <c r="D1765" t="s">
        <v>1801</v>
      </c>
      <c r="E1765" t="str">
        <f t="shared" si="1096"/>
        <v>GWe/yr.</v>
      </c>
      <c r="F1765" s="1">
        <f>SUM(F1766:F1780)</f>
        <v>0.2263685058023665</v>
      </c>
      <c r="G1765" s="1">
        <f t="shared" ref="G1765:K1765" si="1100">SUM(G1766:G1780)</f>
        <v>0.40545425542669722</v>
      </c>
      <c r="H1765" s="1">
        <f t="shared" si="1100"/>
        <v>0.15359073397193648</v>
      </c>
      <c r="I1765" s="1">
        <f t="shared" si="1100"/>
        <v>0.1682064555278375</v>
      </c>
      <c r="J1765" s="1">
        <f t="shared" si="1100"/>
        <v>0.43624446775241554</v>
      </c>
      <c r="K1765" s="1">
        <f t="shared" si="1100"/>
        <v>0.34557218144512775</v>
      </c>
    </row>
    <row r="1766" spans="2:11" x14ac:dyDescent="0.25">
      <c r="B1766" s="5" t="str">
        <f t="shared" si="1058"/>
        <v>SPS4</v>
      </c>
      <c r="C1766" s="5" t="str">
        <f t="shared" ref="B1766:C1779" si="1101">C1765</f>
        <v>CH</v>
      </c>
      <c r="D1766" t="s">
        <v>1802</v>
      </c>
      <c r="E1766" t="str">
        <f t="shared" si="1096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1.2280689545260701E-3</v>
      </c>
      <c r="K1766" s="1">
        <f>'[1]Electricity and CHPs_CAP'!G$21</f>
        <v>2.8493224144825592E-4</v>
      </c>
    </row>
    <row r="1767" spans="2:11" x14ac:dyDescent="0.25">
      <c r="B1767" s="5" t="str">
        <f t="shared" si="1058"/>
        <v>SPS4</v>
      </c>
      <c r="C1767" s="5" t="str">
        <f t="shared" si="1101"/>
        <v>CH</v>
      </c>
      <c r="D1767" t="s">
        <v>1803</v>
      </c>
      <c r="E1767" t="str">
        <f t="shared" si="1096"/>
        <v>GWe/yr.</v>
      </c>
      <c r="F1767" s="1">
        <f>'[1]Electricity and CHPs_CAP'!B$22</f>
        <v>0</v>
      </c>
      <c r="G1767" s="1">
        <f>'[1]Electricity and CHPs_CAP'!C$22</f>
        <v>0.25000006596638402</v>
      </c>
      <c r="H1767" s="1">
        <f>'[1]Electricity and CHPs_CAP'!D$22</f>
        <v>5.2064234220948996E-2</v>
      </c>
      <c r="I1767" s="1">
        <f>'[1]Electricity and CHPs_CAP'!E$22</f>
        <v>5.2058785075667996E-2</v>
      </c>
      <c r="J1767" s="1">
        <f>'[1]Electricity and CHPs_CAP'!F$22</f>
        <v>5.5322540229197997E-2</v>
      </c>
      <c r="K1767" s="1">
        <f>'[1]Electricity and CHPs_CAP'!G$22</f>
        <v>1.2739909856958706E-2</v>
      </c>
    </row>
    <row r="1768" spans="2:11" x14ac:dyDescent="0.25">
      <c r="B1768" s="5" t="str">
        <f t="shared" si="1058"/>
        <v>SPS4</v>
      </c>
      <c r="C1768" s="5" t="str">
        <f t="shared" si="1101"/>
        <v>CH</v>
      </c>
      <c r="D1768" t="s">
        <v>1804</v>
      </c>
      <c r="E1768" t="str">
        <f t="shared" si="1096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25">
      <c r="B1769" s="5" t="str">
        <f t="shared" si="1058"/>
        <v>SPS4</v>
      </c>
      <c r="C1769" s="5" t="str">
        <f t="shared" si="1101"/>
        <v>CH</v>
      </c>
      <c r="D1769" t="s">
        <v>1805</v>
      </c>
      <c r="E1769" t="str">
        <f t="shared" si="1096"/>
        <v>GWe/yr.</v>
      </c>
      <c r="F1769" s="1">
        <f>'[1]Electricity and CHPs_CAP'!B$24</f>
        <v>4.5928481144875397E-2</v>
      </c>
      <c r="G1769" s="1">
        <f>'[1]Electricity and CHPs_CAP'!C$24</f>
        <v>1.6058335086312214E-4</v>
      </c>
      <c r="H1769" s="1">
        <f>'[1]Electricity and CHPs_CAP'!D$24</f>
        <v>2.419212750470745E-4</v>
      </c>
      <c r="I1769" s="1">
        <f>'[1]Electricity and CHPs_CAP'!E$24</f>
        <v>2.6310662611529756E-4</v>
      </c>
      <c r="J1769" s="1">
        <f>'[1]Electricity and CHPs_CAP'!F$24</f>
        <v>2.3159161237793432E-4</v>
      </c>
      <c r="K1769" s="1">
        <f>'[1]Electricity and CHPs_CAP'!G$24</f>
        <v>7.1454145441633791E-5</v>
      </c>
    </row>
    <row r="1770" spans="2:11" x14ac:dyDescent="0.25">
      <c r="B1770" s="5" t="str">
        <f t="shared" si="1058"/>
        <v>SPS4</v>
      </c>
      <c r="C1770" s="5" t="str">
        <f t="shared" si="1101"/>
        <v>CH</v>
      </c>
      <c r="D1770" t="s">
        <v>1806</v>
      </c>
      <c r="E1770" t="str">
        <f t="shared" si="1096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1.44722522194807E-4</v>
      </c>
      <c r="K1770" s="1">
        <f>'[1]Electricity and CHPs_CAP'!G$29</f>
        <v>1.446592087706958E-4</v>
      </c>
    </row>
    <row r="1771" spans="2:11" x14ac:dyDescent="0.25">
      <c r="B1771" s="5" t="str">
        <f t="shared" si="1058"/>
        <v>SPS4</v>
      </c>
      <c r="C1771" s="5" t="str">
        <f t="shared" si="1101"/>
        <v>CH</v>
      </c>
      <c r="D1771" t="s">
        <v>1807</v>
      </c>
      <c r="E1771" t="str">
        <f t="shared" si="1096"/>
        <v>GWe/yr.</v>
      </c>
      <c r="F1771" s="1">
        <f>'[1]Electricity and CHPs_CAP'!B$39</f>
        <v>2.9447877823313207E-2</v>
      </c>
      <c r="G1771" s="1">
        <f>'[1]Electricity and CHPs_CAP'!C$39</f>
        <v>2.1779770564172574E-2</v>
      </c>
      <c r="H1771" s="1">
        <f>'[1]Electricity and CHPs_CAP'!D$39</f>
        <v>1.3858692661458137E-2</v>
      </c>
      <c r="I1771" s="1">
        <f>'[1]Electricity and CHPs_CAP'!E$39</f>
        <v>1.22517741982333E-2</v>
      </c>
      <c r="J1771" s="1">
        <f>'[1]Electricity and CHPs_CAP'!F$39</f>
        <v>8.2051832555706476E-3</v>
      </c>
      <c r="K1771" s="1">
        <f>'[1]Electricity and CHPs_CAP'!G$39</f>
        <v>2.2538154511832129E-3</v>
      </c>
    </row>
    <row r="1772" spans="2:11" x14ac:dyDescent="0.25">
      <c r="B1772" s="5" t="str">
        <f t="shared" si="1058"/>
        <v>SPS4</v>
      </c>
      <c r="C1772" s="5" t="str">
        <f t="shared" si="1101"/>
        <v>CH</v>
      </c>
      <c r="D1772" t="s">
        <v>1808</v>
      </c>
      <c r="E1772" t="str">
        <f t="shared" si="1096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0</v>
      </c>
      <c r="K1772" s="1">
        <f>'[1]Electricity and CHPs_CAP'!G$40</f>
        <v>0</v>
      </c>
    </row>
    <row r="1773" spans="2:11" x14ac:dyDescent="0.25">
      <c r="B1773" s="5" t="str">
        <f t="shared" si="1058"/>
        <v>SPS4</v>
      </c>
      <c r="C1773" s="5" t="str">
        <f t="shared" si="1101"/>
        <v>CH</v>
      </c>
      <c r="D1773" t="s">
        <v>1809</v>
      </c>
      <c r="E1773" t="str">
        <f t="shared" si="1096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4.0094089144920903E-5</v>
      </c>
      <c r="J1773" s="1">
        <f>'[1]Electricity and CHPs_CAP'!F$47</f>
        <v>1.00094667965006E-4</v>
      </c>
      <c r="K1773" s="1">
        <f>'[1]Electricity and CHPs_CAP'!G$47</f>
        <v>7.6071971336464113E-5</v>
      </c>
    </row>
    <row r="1774" spans="2:11" x14ac:dyDescent="0.25">
      <c r="B1774" s="5" t="str">
        <f t="shared" si="1058"/>
        <v>SPS4</v>
      </c>
      <c r="C1774" s="5" t="str">
        <f t="shared" si="1101"/>
        <v>CH</v>
      </c>
      <c r="D1774" t="s">
        <v>1810</v>
      </c>
      <c r="E1774" t="str">
        <f t="shared" si="1096"/>
        <v>GWe/yr.</v>
      </c>
      <c r="F1774" s="1">
        <f>'[1]Electricity and CHPs_CAP'!B$48</f>
        <v>3.9117612678195206E-3</v>
      </c>
      <c r="G1774" s="1">
        <f>'[1]Electricity and CHPs_CAP'!C$48</f>
        <v>5.9262692853506921E-4</v>
      </c>
      <c r="H1774" s="1">
        <f>'[1]Electricity and CHPs_CAP'!D$48</f>
        <v>6.015035250522973E-4</v>
      </c>
      <c r="I1774" s="1">
        <f>'[1]Electricity and CHPs_CAP'!E$48</f>
        <v>5.9128783502525371E-4</v>
      </c>
      <c r="J1774" s="1">
        <f>'[1]Electricity and CHPs_CAP'!F$48</f>
        <v>2.5344063259278443E-4</v>
      </c>
      <c r="K1774" s="1">
        <f>'[1]Electricity and CHPs_CAP'!G$48</f>
        <v>1.1081859200227399E-4</v>
      </c>
    </row>
    <row r="1775" spans="2:11" x14ac:dyDescent="0.25">
      <c r="B1775" s="5" t="str">
        <f t="shared" si="1058"/>
        <v>SPS4</v>
      </c>
      <c r="C1775" s="5" t="str">
        <f t="shared" si="1101"/>
        <v>CH</v>
      </c>
      <c r="D1775" t="s">
        <v>1811</v>
      </c>
      <c r="E1775" t="str">
        <f t="shared" si="1096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9.4042135911394991E-6</v>
      </c>
      <c r="J1775" s="1">
        <f>'[1]Electricity and CHPs_CAP'!F$49</f>
        <v>3.08723162370941E-5</v>
      </c>
      <c r="K1775" s="1">
        <f>'[1]Electricity and CHPs_CAP'!G$49</f>
        <v>2.5456522286577876E-5</v>
      </c>
    </row>
    <row r="1776" spans="2:11" x14ac:dyDescent="0.25">
      <c r="B1776" s="5" t="str">
        <f t="shared" si="1058"/>
        <v>SPS4</v>
      </c>
      <c r="C1776" s="5" t="str">
        <f t="shared" si="1101"/>
        <v>CH</v>
      </c>
      <c r="D1776" t="s">
        <v>1812</v>
      </c>
      <c r="E1776" t="str">
        <f t="shared" si="1096"/>
        <v>GWe/yr.</v>
      </c>
      <c r="F1776" s="1">
        <f>'[1]Electricity and CHPs_CAP'!B$51</f>
        <v>8.3678209537735512E-3</v>
      </c>
      <c r="G1776" s="1">
        <f>'[1]Electricity and CHPs_CAP'!C$51</f>
        <v>2.9931735083460871E-4</v>
      </c>
      <c r="H1776" s="1">
        <f>'[1]Electricity and CHPs_CAP'!D$51</f>
        <v>3.1640320866381272E-4</v>
      </c>
      <c r="I1776" s="1">
        <f>'[1]Electricity and CHPs_CAP'!E$51</f>
        <v>1.643062550128634E-2</v>
      </c>
      <c r="J1776" s="1">
        <f>'[1]Electricity and CHPs_CAP'!F$51</f>
        <v>0.27061930753366459</v>
      </c>
      <c r="K1776" s="1">
        <f>'[1]Electricity and CHPs_CAP'!G$51</f>
        <v>0.24439508819734018</v>
      </c>
    </row>
    <row r="1777" spans="2:11" x14ac:dyDescent="0.25">
      <c r="B1777" s="5" t="str">
        <f t="shared" si="1058"/>
        <v>SPS4</v>
      </c>
      <c r="C1777" s="5" t="str">
        <f t="shared" si="1101"/>
        <v>CH</v>
      </c>
      <c r="D1777" t="s">
        <v>1813</v>
      </c>
      <c r="E1777" t="str">
        <f t="shared" si="1096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3.9445500926264199E-5</v>
      </c>
      <c r="J1777" s="1">
        <f>'[1]Electricity and CHPs_CAP'!F$52</f>
        <v>3.2009684964097749E-4</v>
      </c>
      <c r="K1777" s="1">
        <f>'[1]Electricity and CHPs_CAP'!G$52</f>
        <v>2.7464405981983007E-4</v>
      </c>
    </row>
    <row r="1778" spans="2:11" x14ac:dyDescent="0.25">
      <c r="B1778" s="5" t="str">
        <f t="shared" si="1058"/>
        <v>SPS4</v>
      </c>
      <c r="C1778" s="5" t="str">
        <f t="shared" si="1101"/>
        <v>CH</v>
      </c>
      <c r="D1778" t="s">
        <v>1814</v>
      </c>
      <c r="E1778" t="str">
        <f t="shared" si="1096"/>
        <v>GWe/yr.</v>
      </c>
      <c r="F1778" s="1">
        <f>'[1]Electricity and CHPs_CAP'!B$54</f>
        <v>7.35127E-2</v>
      </c>
      <c r="G1778" s="1">
        <f>'[1]Electricity and CHPs_CAP'!C$54</f>
        <v>8.4745049128659586E-2</v>
      </c>
      <c r="H1778" s="1">
        <f>'[1]Electricity and CHPs_CAP'!D$54</f>
        <v>8.4744991119671764E-2</v>
      </c>
      <c r="I1778" s="1">
        <f>'[1]Electricity and CHPs_CAP'!E$54</f>
        <v>8.474527382374189E-2</v>
      </c>
      <c r="J1778" s="1">
        <f>'[1]Electricity and CHPs_CAP'!F$54</f>
        <v>9.7890980068224109E-2</v>
      </c>
      <c r="K1778" s="1">
        <f>'[1]Electricity and CHPs_CAP'!G$54</f>
        <v>8.4745144172549844E-2</v>
      </c>
    </row>
    <row r="1779" spans="2:11" x14ac:dyDescent="0.25">
      <c r="B1779" s="5" t="str">
        <f t="shared" si="1058"/>
        <v>SPS4</v>
      </c>
      <c r="C1779" s="5" t="str">
        <f t="shared" si="1101"/>
        <v>CH</v>
      </c>
      <c r="D1779" t="s">
        <v>1815</v>
      </c>
      <c r="E1779" t="str">
        <f t="shared" si="1096"/>
        <v>GWe/yr.</v>
      </c>
      <c r="F1779" s="1">
        <f>'[1]Electricity and CHPs_CAP'!B$55</f>
        <v>6.5199864612584799E-2</v>
      </c>
      <c r="G1779" s="1">
        <f>'[1]Electricity and CHPs_CAP'!C$55</f>
        <v>4.7876842137248223E-2</v>
      </c>
      <c r="H1779" s="1">
        <f>'[1]Electricity and CHPs_CAP'!D$55</f>
        <v>1.7629879610943991E-3</v>
      </c>
      <c r="I1779" s="1">
        <f>'[1]Electricity and CHPs_CAP'!E$55</f>
        <v>1.7630373787850054E-3</v>
      </c>
      <c r="J1779" s="1">
        <f>'[1]Electricity and CHPs_CAP'!F$55</f>
        <v>1.5020552147414993E-3</v>
      </c>
      <c r="K1779" s="1">
        <f>'[1]Electricity and CHPs_CAP'!G$55</f>
        <v>5.8286515031875008E-5</v>
      </c>
    </row>
    <row r="1780" spans="2:11" x14ac:dyDescent="0.25">
      <c r="B1780" s="5" t="str">
        <f t="shared" ref="B1780:B1843" si="1102">B1779</f>
        <v>SPS4</v>
      </c>
      <c r="C1780" s="5" t="str">
        <f t="shared" ref="B1780:C1780" si="1103">C1779</f>
        <v>CH</v>
      </c>
      <c r="D1780" t="s">
        <v>1816</v>
      </c>
      <c r="E1780" t="str">
        <f t="shared" si="1096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1.3621285320118E-5</v>
      </c>
      <c r="J1780" s="1">
        <f>'[1]Electricity and CHPs_CAP'!F$58</f>
        <v>3.9551389548202453E-4</v>
      </c>
      <c r="K1780" s="1">
        <f>'[1]Electricity and CHPs_CAP'!G$58</f>
        <v>3.9190051095821225E-4</v>
      </c>
    </row>
    <row r="1781" spans="2:11" x14ac:dyDescent="0.25">
      <c r="B1781" s="5" t="str">
        <f t="shared" si="1102"/>
        <v>SPS4</v>
      </c>
      <c r="C1781" s="5" t="str">
        <f>C1780</f>
        <v>CH</v>
      </c>
      <c r="D1781" t="s">
        <v>1817</v>
      </c>
      <c r="E1781" t="str">
        <f t="shared" si="1096"/>
        <v>GWe/yr.</v>
      </c>
      <c r="F1781" s="1">
        <f>SUM(F1782:F1787)</f>
        <v>0.40094865106810706</v>
      </c>
      <c r="G1781" s="1">
        <f t="shared" ref="G1781:K1781" si="1104">SUM(G1782:G1787)</f>
        <v>0.36311010551125106</v>
      </c>
      <c r="H1781" s="1">
        <f t="shared" si="1104"/>
        <v>0.36310989440502051</v>
      </c>
      <c r="I1781" s="1">
        <f t="shared" si="1104"/>
        <v>0.36002782452047388</v>
      </c>
      <c r="J1781" s="1">
        <f t="shared" si="1104"/>
        <v>0.38664929589610686</v>
      </c>
      <c r="K1781" s="1">
        <f t="shared" si="1104"/>
        <v>0.40167151310206323</v>
      </c>
    </row>
    <row r="1782" spans="2:11" x14ac:dyDescent="0.25">
      <c r="B1782" s="5" t="str">
        <f t="shared" si="1102"/>
        <v>SPS4</v>
      </c>
      <c r="C1782" s="5" t="str">
        <f t="shared" ref="B1782:C1787" si="1105">C1781</f>
        <v>CH</v>
      </c>
      <c r="D1782" t="s">
        <v>1818</v>
      </c>
      <c r="E1782" t="str">
        <f t="shared" si="1096"/>
        <v>GWe/yr.</v>
      </c>
      <c r="F1782" s="1">
        <f>'[1]Electricity and CHPs_CAP'!B$19</f>
        <v>0.27650330230654618</v>
      </c>
      <c r="G1782" s="1">
        <f>'[1]Electricity and CHPs_CAP'!C$19</f>
        <v>0.27650236307785675</v>
      </c>
      <c r="H1782" s="1">
        <f>'[1]Electricity and CHPs_CAP'!D$19</f>
        <v>0.27650242428298366</v>
      </c>
      <c r="I1782" s="1">
        <f>'[1]Electricity and CHPs_CAP'!E$19</f>
        <v>0.2759923293337761</v>
      </c>
      <c r="J1782" s="1">
        <f>'[1]Electricity and CHPs_CAP'!F$19</f>
        <v>0.30324275499713516</v>
      </c>
      <c r="K1782" s="1">
        <f>'[1]Electricity and CHPs_CAP'!G$19</f>
        <v>0.31818832624875659</v>
      </c>
    </row>
    <row r="1783" spans="2:11" x14ac:dyDescent="0.25">
      <c r="B1783" s="5" t="str">
        <f t="shared" si="1102"/>
        <v>SPS4</v>
      </c>
      <c r="C1783" s="5" t="str">
        <f t="shared" si="1105"/>
        <v>CH</v>
      </c>
      <c r="D1783" t="s">
        <v>1819</v>
      </c>
      <c r="E1783" t="str">
        <f t="shared" si="1096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</v>
      </c>
      <c r="K1783" s="1">
        <f>'[1]Electricity and CHPs_CAP'!G$20</f>
        <v>0</v>
      </c>
    </row>
    <row r="1784" spans="2:11" x14ac:dyDescent="0.25">
      <c r="B1784" s="5" t="str">
        <f t="shared" si="1102"/>
        <v>SPS4</v>
      </c>
      <c r="C1784" s="5" t="str">
        <f t="shared" si="1105"/>
        <v>CH</v>
      </c>
      <c r="D1784" t="s">
        <v>1820</v>
      </c>
      <c r="E1784" t="str">
        <f t="shared" si="1096"/>
        <v>GWe/yr.</v>
      </c>
      <c r="F1784" s="1">
        <f>'[1]Electricity and CHPs_CAP'!B$26</f>
        <v>7.6766282780275336E-2</v>
      </c>
      <c r="G1784" s="1">
        <f>'[1]Electricity and CHPs_CAP'!C$26</f>
        <v>7.2061294144006222E-2</v>
      </c>
      <c r="H1784" s="1">
        <f>'[1]Electricity and CHPs_CAP'!D$26</f>
        <v>7.2061166937911675E-2</v>
      </c>
      <c r="I1784" s="1">
        <f>'[1]Electricity and CHPs_CAP'!E$26</f>
        <v>7.0489711430718888E-2</v>
      </c>
      <c r="J1784" s="1">
        <f>'[1]Electricity and CHPs_CAP'!F$26</f>
        <v>7.0079136137340223E-2</v>
      </c>
      <c r="K1784" s="1">
        <f>'[1]Electricity and CHPs_CAP'!G$26</f>
        <v>7.0293025598927195E-2</v>
      </c>
    </row>
    <row r="1785" spans="2:11" x14ac:dyDescent="0.25">
      <c r="B1785" s="5" t="str">
        <f t="shared" si="1102"/>
        <v>SPS4</v>
      </c>
      <c r="C1785" s="5" t="str">
        <f t="shared" si="1105"/>
        <v>CH</v>
      </c>
      <c r="D1785" t="s">
        <v>1821</v>
      </c>
      <c r="E1785" t="str">
        <f t="shared" si="1096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0</v>
      </c>
      <c r="K1785" s="1">
        <f>'[1]Electricity and CHPs_CAP'!G$27</f>
        <v>0</v>
      </c>
    </row>
    <row r="1786" spans="2:11" x14ac:dyDescent="0.25">
      <c r="B1786" s="5" t="str">
        <f t="shared" si="1102"/>
        <v>SPS4</v>
      </c>
      <c r="C1786" s="5" t="str">
        <f t="shared" si="1105"/>
        <v>CH</v>
      </c>
      <c r="D1786" t="s">
        <v>1822</v>
      </c>
      <c r="E1786" t="str">
        <f t="shared" si="1096"/>
        <v>GWe/yr.</v>
      </c>
      <c r="F1786" s="1">
        <f>'[1]Electricity and CHPs_CAP'!B$44</f>
        <v>4.7679065981285601E-2</v>
      </c>
      <c r="G1786" s="1">
        <f>'[1]Electricity and CHPs_CAP'!C$44</f>
        <v>1.4546448289388059E-2</v>
      </c>
      <c r="H1786" s="1">
        <f>'[1]Electricity and CHPs_CAP'!D$44</f>
        <v>1.454630318412517E-2</v>
      </c>
      <c r="I1786" s="1">
        <f>'[1]Electricity and CHPs_CAP'!E$44</f>
        <v>1.35457837559789E-2</v>
      </c>
      <c r="J1786" s="1">
        <f>'[1]Electricity and CHPs_CAP'!F$44</f>
        <v>1.332740476163144E-2</v>
      </c>
      <c r="K1786" s="1">
        <f>'[1]Electricity and CHPs_CAP'!G$44</f>
        <v>1.3190161254379464E-2</v>
      </c>
    </row>
    <row r="1787" spans="2:11" x14ac:dyDescent="0.25">
      <c r="B1787" s="5" t="str">
        <f t="shared" si="1102"/>
        <v>SPS4</v>
      </c>
      <c r="C1787" s="5" t="str">
        <f t="shared" si="1105"/>
        <v>CH</v>
      </c>
      <c r="D1787" t="s">
        <v>1823</v>
      </c>
      <c r="E1787" t="str">
        <f t="shared" si="1096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0</v>
      </c>
      <c r="K1787" s="1">
        <f>'[1]Electricity and CHPs_CAP'!G$45</f>
        <v>0</v>
      </c>
    </row>
    <row r="1788" spans="2:11" x14ac:dyDescent="0.25">
      <c r="B1788" s="5" t="str">
        <f t="shared" si="1102"/>
        <v>SPS4</v>
      </c>
      <c r="C1788" s="5" t="str">
        <f>C1787</f>
        <v>CH</v>
      </c>
      <c r="D1788" t="s">
        <v>1824</v>
      </c>
      <c r="E1788" t="str">
        <f t="shared" si="1096"/>
        <v>GWe/yr.</v>
      </c>
      <c r="F1788" s="1">
        <f>SUM(F1789:F1795)</f>
        <v>2.2349440743207633E-2</v>
      </c>
      <c r="G1788" s="1">
        <f t="shared" ref="G1788:K1788" si="1106">SUM(G1789:G1795)</f>
        <v>2.2219809790224154E-2</v>
      </c>
      <c r="H1788" s="1">
        <f t="shared" si="1106"/>
        <v>3.4666103949827345E-2</v>
      </c>
      <c r="I1788" s="1">
        <f t="shared" si="1106"/>
        <v>6.0996368118417701E-2</v>
      </c>
      <c r="J1788" s="1">
        <f t="shared" si="1106"/>
        <v>0.18863442084792126</v>
      </c>
      <c r="K1788" s="1">
        <f t="shared" si="1106"/>
        <v>0.23925133935704454</v>
      </c>
    </row>
    <row r="1789" spans="2:11" x14ac:dyDescent="0.25">
      <c r="B1789" s="5" t="str">
        <f t="shared" si="1102"/>
        <v>SPS4</v>
      </c>
      <c r="C1789" s="5" t="str">
        <f t="shared" ref="B1789:C1799" si="1107">C1788</f>
        <v>CH</v>
      </c>
      <c r="D1789" t="s">
        <v>1825</v>
      </c>
      <c r="E1789" t="str">
        <f t="shared" si="1096"/>
        <v>GWe/yr.</v>
      </c>
      <c r="F1789" s="1">
        <f>'[1]Electricity and CHPs_CAP'!B$25</f>
        <v>1.5946611432723204E-2</v>
      </c>
      <c r="G1789" s="1">
        <f>'[1]Electricity and CHPs_CAP'!C$25</f>
        <v>2.9656249565228401E-3</v>
      </c>
      <c r="H1789" s="1">
        <f>'[1]Electricity and CHPs_CAP'!D$25</f>
        <v>2.5559913246112759E-4</v>
      </c>
      <c r="I1789" s="1">
        <f>'[1]Electricity and CHPs_CAP'!E$25</f>
        <v>2.5583567323214998E-4</v>
      </c>
      <c r="J1789" s="1">
        <f>'[1]Electricity and CHPs_CAP'!F$25</f>
        <v>2.2876105867653007E-4</v>
      </c>
      <c r="K1789" s="1">
        <f>'[1]Electricity and CHPs_CAP'!G$25</f>
        <v>1.9074670103001458E-4</v>
      </c>
    </row>
    <row r="1790" spans="2:11" x14ac:dyDescent="0.25">
      <c r="B1790" s="5" t="str">
        <f t="shared" si="1102"/>
        <v>SPS4</v>
      </c>
      <c r="C1790" s="5" t="str">
        <f t="shared" si="1107"/>
        <v>CH</v>
      </c>
      <c r="D1790" t="s">
        <v>1826</v>
      </c>
      <c r="E1790" t="str">
        <f t="shared" si="1096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0</v>
      </c>
    </row>
    <row r="1791" spans="2:11" x14ac:dyDescent="0.25">
      <c r="B1791" s="5" t="str">
        <f t="shared" si="1102"/>
        <v>SPS4</v>
      </c>
      <c r="C1791" s="5" t="str">
        <f t="shared" si="1107"/>
        <v>CH</v>
      </c>
      <c r="D1791" t="s">
        <v>1827</v>
      </c>
      <c r="E1791" t="str">
        <f t="shared" si="1096"/>
        <v>GWe/yr.</v>
      </c>
      <c r="F1791" s="1">
        <f>'[1]Electricity and CHPs_CAP'!B$42</f>
        <v>6.4028293104844303E-3</v>
      </c>
      <c r="G1791" s="1">
        <f>'[1]Electricity and CHPs_CAP'!C$42</f>
        <v>1.9254184833701313E-2</v>
      </c>
      <c r="H1791" s="1">
        <f>'[1]Electricity and CHPs_CAP'!D$42</f>
        <v>3.4410504817366218E-2</v>
      </c>
      <c r="I1791" s="1">
        <f>'[1]Electricity and CHPs_CAP'!E$42</f>
        <v>6.0565941057949241E-2</v>
      </c>
      <c r="J1791" s="1">
        <f>'[1]Electricity and CHPs_CAP'!F$42</f>
        <v>0.18823325897560209</v>
      </c>
      <c r="K1791" s="1">
        <f>'[1]Electricity and CHPs_CAP'!G$42</f>
        <v>0.23896782218261794</v>
      </c>
    </row>
    <row r="1792" spans="2:11" x14ac:dyDescent="0.25">
      <c r="B1792" s="5" t="str">
        <f t="shared" si="1102"/>
        <v>SPS4</v>
      </c>
      <c r="C1792" s="5" t="str">
        <f t="shared" si="1107"/>
        <v>CH</v>
      </c>
      <c r="D1792" t="s">
        <v>1828</v>
      </c>
      <c r="E1792" t="str">
        <f t="shared" si="1096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</v>
      </c>
      <c r="K1792" s="1">
        <f>'[1]Electricity and CHPs_CAP'!G$43</f>
        <v>0</v>
      </c>
    </row>
    <row r="1793" spans="2:11" x14ac:dyDescent="0.25">
      <c r="B1793" s="5" t="str">
        <f t="shared" si="1102"/>
        <v>SPS4</v>
      </c>
      <c r="C1793" s="5" t="str">
        <f t="shared" si="1107"/>
        <v>CH</v>
      </c>
      <c r="D1793" t="s">
        <v>1829</v>
      </c>
      <c r="E1793" t="str">
        <f t="shared" si="1096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4.37265501898389E-5</v>
      </c>
      <c r="J1793" s="1">
        <f>'[1]Electricity and CHPs_CAP'!F$50</f>
        <v>4.8779867042266002E-5</v>
      </c>
      <c r="K1793" s="1">
        <f>'[1]Electricity and CHPs_CAP'!G$50</f>
        <v>2.7900128777287981E-5</v>
      </c>
    </row>
    <row r="1794" spans="2:11" x14ac:dyDescent="0.25">
      <c r="B1794" s="5" t="str">
        <f t="shared" si="1102"/>
        <v>SPS4</v>
      </c>
      <c r="C1794" s="5" t="str">
        <f t="shared" si="1107"/>
        <v>CH</v>
      </c>
      <c r="D1794" t="s">
        <v>1830</v>
      </c>
      <c r="E1794" t="str">
        <f t="shared" si="1096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8.6562880294153302E-5</v>
      </c>
      <c r="J1794" s="1">
        <f>'[1]Electricity and CHPs_CAP'!F$53</f>
        <v>7.665564950263141E-5</v>
      </c>
      <c r="K1794" s="1">
        <f>'[1]Electricity and CHPs_CAP'!G$53</f>
        <v>4.3756566823289483E-5</v>
      </c>
    </row>
    <row r="1795" spans="2:11" x14ac:dyDescent="0.25">
      <c r="B1795" s="5" t="str">
        <f t="shared" si="1102"/>
        <v>SPS4</v>
      </c>
      <c r="C1795" s="5" t="str">
        <f t="shared" si="1107"/>
        <v>CH</v>
      </c>
      <c r="D1795" t="s">
        <v>1831</v>
      </c>
      <c r="E1795" t="str">
        <f t="shared" si="1096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4.4301956752319102E-5</v>
      </c>
      <c r="J1795" s="1">
        <f>'[1]Electricity and CHPs_CAP'!F$56</f>
        <v>4.6965297097745719E-5</v>
      </c>
      <c r="K1795" s="1">
        <f>'[1]Electricity and CHPs_CAP'!G$56</f>
        <v>2.1113777796025004E-5</v>
      </c>
    </row>
    <row r="1796" spans="2:11" x14ac:dyDescent="0.25">
      <c r="B1796" s="5" t="str">
        <f t="shared" si="1102"/>
        <v>SPS4</v>
      </c>
      <c r="C1796" s="5" t="str">
        <f t="shared" si="1107"/>
        <v>CH</v>
      </c>
      <c r="D1796" t="s">
        <v>1832</v>
      </c>
      <c r="E1796" t="str">
        <f t="shared" si="1096"/>
        <v>GWe/yr.</v>
      </c>
      <c r="F1796" s="1">
        <f>F1797</f>
        <v>8.7120000000000003E-2</v>
      </c>
      <c r="G1796" s="1">
        <f t="shared" ref="G1796:K1796" si="1108">G1797</f>
        <v>9.0660021450189601E-2</v>
      </c>
      <c r="H1796" s="1">
        <f t="shared" si="1108"/>
        <v>8.3657612999795433E-2</v>
      </c>
      <c r="I1796" s="1">
        <f t="shared" si="1108"/>
        <v>0.41395469282077829</v>
      </c>
      <c r="J1796" s="1">
        <f t="shared" si="1108"/>
        <v>1.1088353293852369</v>
      </c>
      <c r="K1796" s="1">
        <f t="shared" si="1108"/>
        <v>2.2176656434215598</v>
      </c>
    </row>
    <row r="1797" spans="2:11" x14ac:dyDescent="0.25">
      <c r="B1797" s="5" t="str">
        <f t="shared" si="1102"/>
        <v>SPS4</v>
      </c>
      <c r="C1797" s="5" t="str">
        <f t="shared" si="1107"/>
        <v>CH</v>
      </c>
      <c r="D1797" t="s">
        <v>1833</v>
      </c>
      <c r="E1797" t="str">
        <f t="shared" si="1096"/>
        <v>GWe/yr.</v>
      </c>
      <c r="F1797" s="1">
        <f>'[1]Electricity and CHPs_CAP'!B$33</f>
        <v>8.7120000000000003E-2</v>
      </c>
      <c r="G1797" s="1">
        <f>'[1]Electricity and CHPs_CAP'!C$33</f>
        <v>9.0660021450189601E-2</v>
      </c>
      <c r="H1797" s="1">
        <f>'[1]Electricity and CHPs_CAP'!D$33</f>
        <v>8.3657612999795433E-2</v>
      </c>
      <c r="I1797" s="1">
        <f>'[1]Electricity and CHPs_CAP'!E$33</f>
        <v>0.41395469282077829</v>
      </c>
      <c r="J1797" s="1">
        <f>'[1]Electricity and CHPs_CAP'!F$33</f>
        <v>1.1088353293852369</v>
      </c>
      <c r="K1797" s="1">
        <f>'[1]Electricity and CHPs_CAP'!G$33</f>
        <v>2.2176656434215598</v>
      </c>
    </row>
    <row r="1798" spans="2:11" x14ac:dyDescent="0.25">
      <c r="B1798" s="5" t="str">
        <f t="shared" si="1102"/>
        <v>SPS4</v>
      </c>
      <c r="C1798" s="5" t="str">
        <f t="shared" si="1107"/>
        <v>CH</v>
      </c>
      <c r="D1798" t="s">
        <v>1834</v>
      </c>
      <c r="E1798" t="str">
        <f t="shared" si="1096"/>
        <v>GWe/yr.</v>
      </c>
      <c r="F1798" s="1">
        <f>SUM(F1799:F1803)</f>
        <v>2.9746549999999998</v>
      </c>
      <c r="G1798" s="1">
        <f t="shared" ref="G1798:K1798" si="1109">SUM(G1799:G1803)</f>
        <v>4.3708874818261947</v>
      </c>
      <c r="H1798" s="1">
        <f t="shared" si="1109"/>
        <v>9.1888989283262283</v>
      </c>
      <c r="I1798" s="1">
        <f t="shared" si="1109"/>
        <v>9.487533062248648</v>
      </c>
      <c r="J1798" s="1">
        <f t="shared" si="1109"/>
        <v>12.950340901262207</v>
      </c>
      <c r="K1798" s="1">
        <f t="shared" si="1109"/>
        <v>21.782897989682702</v>
      </c>
    </row>
    <row r="1799" spans="2:11" x14ac:dyDescent="0.25">
      <c r="B1799" s="5" t="str">
        <f t="shared" si="1102"/>
        <v>SPS4</v>
      </c>
      <c r="C1799" s="5" t="str">
        <f t="shared" si="1107"/>
        <v>CH</v>
      </c>
      <c r="D1799" t="s">
        <v>1835</v>
      </c>
      <c r="E1799" t="str">
        <f t="shared" si="1096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4.4925430892441602E-2</v>
      </c>
      <c r="I1799" s="1">
        <f>'[1]Electricity and CHPs_CAP'!E$34</f>
        <v>4.4925998583222826E-2</v>
      </c>
      <c r="J1799" s="1">
        <f>'[1]Electricity and CHPs_CAP'!F$34</f>
        <v>0.44012957018013682</v>
      </c>
      <c r="K1799" s="1">
        <f>'[1]Electricity and CHPs_CAP'!G$34</f>
        <v>2.0075020642676682</v>
      </c>
    </row>
    <row r="1800" spans="2:11" x14ac:dyDescent="0.25">
      <c r="B1800" s="5" t="str">
        <f t="shared" si="1102"/>
        <v>SPS4</v>
      </c>
      <c r="C1800" s="5" t="str">
        <f t="shared" ref="B1800:C1815" si="1110">C1799</f>
        <v>CH</v>
      </c>
      <c r="D1800" t="s">
        <v>1836</v>
      </c>
      <c r="E1800" t="str">
        <f t="shared" si="1096"/>
        <v>GWe/yr.</v>
      </c>
      <c r="F1800" s="1">
        <f>'[1]Electricity and CHPs_CAP'!B$35</f>
        <v>1.1186210000000001</v>
      </c>
      <c r="G1800" s="1">
        <f>'[1]Electricity and CHPs_CAP'!C$35</f>
        <v>1.6529270399486307</v>
      </c>
      <c r="H1800" s="1">
        <f>'[1]Electricity and CHPs_CAP'!D$35</f>
        <v>3.0611868585055797</v>
      </c>
      <c r="I1800" s="1">
        <f>'[1]Electricity and CHPs_CAP'!E$35</f>
        <v>3.2173382451385999</v>
      </c>
      <c r="J1800" s="1">
        <f>'[1]Electricity and CHPs_CAP'!F$35</f>
        <v>6.7043611880634666</v>
      </c>
      <c r="K1800" s="1">
        <f>'[1]Electricity and CHPs_CAP'!G$35</f>
        <v>15.266477778206299</v>
      </c>
    </row>
    <row r="1801" spans="2:11" x14ac:dyDescent="0.25">
      <c r="B1801" s="5" t="str">
        <f t="shared" si="1102"/>
        <v>SPS4</v>
      </c>
      <c r="C1801" s="5" t="str">
        <f t="shared" si="1110"/>
        <v>CH</v>
      </c>
      <c r="D1801" t="s">
        <v>1837</v>
      </c>
      <c r="E1801" t="str">
        <f t="shared" si="1096"/>
        <v>GWe/yr.</v>
      </c>
      <c r="F1801" s="1">
        <f>'[1]Electricity and CHPs_CAP'!B$36</f>
        <v>0.67885700000000004</v>
      </c>
      <c r="G1801" s="1">
        <f>'[1]Electricity and CHPs_CAP'!C$36</f>
        <v>1.1559064063045401</v>
      </c>
      <c r="H1801" s="1">
        <f>'[1]Electricity and CHPs_CAP'!D$36</f>
        <v>2.5678591761581857</v>
      </c>
      <c r="I1801" s="1">
        <f>'[1]Electricity and CHPs_CAP'!E$36</f>
        <v>2.531008150055817</v>
      </c>
      <c r="J1801" s="1">
        <f>'[1]Electricity and CHPs_CAP'!F$36</f>
        <v>1.7250876281180889</v>
      </c>
      <c r="K1801" s="1">
        <f>'[1]Electricity and CHPs_CAP'!G$36</f>
        <v>1.2179749454727679E-3</v>
      </c>
    </row>
    <row r="1802" spans="2:11" x14ac:dyDescent="0.25">
      <c r="B1802" s="5" t="str">
        <f t="shared" si="1102"/>
        <v>SPS4</v>
      </c>
      <c r="C1802" s="5" t="str">
        <f t="shared" si="1110"/>
        <v>CH</v>
      </c>
      <c r="D1802" t="s">
        <v>1838</v>
      </c>
      <c r="E1802" t="str">
        <f t="shared" si="1096"/>
        <v>GWe/yr.</v>
      </c>
      <c r="F1802" s="1">
        <f>'[1]Electricity and CHPs_CAP'!B$37</f>
        <v>0.27424799999999999</v>
      </c>
      <c r="G1802" s="1">
        <f>'[1]Electricity and CHPs_CAP'!C$37</f>
        <v>0.43895274869404016</v>
      </c>
      <c r="H1802" s="1">
        <f>'[1]Electricity and CHPs_CAP'!D$37</f>
        <v>1.334982010800841</v>
      </c>
      <c r="I1802" s="1">
        <f>'[1]Electricity and CHPs_CAP'!E$37</f>
        <v>1.403079560947887</v>
      </c>
      <c r="J1802" s="1">
        <f>'[1]Electricity and CHPs_CAP'!F$37</f>
        <v>1.5498733830814859</v>
      </c>
      <c r="K1802" s="1">
        <f>'[1]Electricity and CHPs_CAP'!G$37</f>
        <v>1.712024527637553</v>
      </c>
    </row>
    <row r="1803" spans="2:11" x14ac:dyDescent="0.25">
      <c r="B1803" s="5" t="str">
        <f t="shared" si="1102"/>
        <v>SPS4</v>
      </c>
      <c r="C1803" s="5" t="str">
        <f t="shared" si="1110"/>
        <v>CH</v>
      </c>
      <c r="D1803" t="s">
        <v>1839</v>
      </c>
      <c r="E1803" t="str">
        <f t="shared" si="1096"/>
        <v>GWe/yr.</v>
      </c>
      <c r="F1803" s="1">
        <f>'[1]Electricity and CHPs_CAP'!B$38</f>
        <v>0.90292899999999998</v>
      </c>
      <c r="G1803" s="1">
        <f>'[1]Electricity and CHPs_CAP'!C$38</f>
        <v>1.1231012868789843</v>
      </c>
      <c r="H1803" s="1">
        <f>'[1]Electricity and CHPs_CAP'!D$38</f>
        <v>2.1799454519691803</v>
      </c>
      <c r="I1803" s="1">
        <f>'[1]Electricity and CHPs_CAP'!E$38</f>
        <v>2.2911811075231201</v>
      </c>
      <c r="J1803" s="1">
        <f>'[1]Electricity and CHPs_CAP'!F$38</f>
        <v>2.5308891318190287</v>
      </c>
      <c r="K1803" s="1">
        <f>'[1]Electricity and CHPs_CAP'!G$38</f>
        <v>2.7956756446257098</v>
      </c>
    </row>
    <row r="1804" spans="2:11" x14ac:dyDescent="0.25">
      <c r="B1804" s="5" t="str">
        <f t="shared" si="1102"/>
        <v>SPS4</v>
      </c>
      <c r="C1804" s="5" t="str">
        <f>C1807</f>
        <v>CH</v>
      </c>
      <c r="D1804" t="s">
        <v>1840</v>
      </c>
      <c r="E1804" t="str">
        <f t="shared" si="1096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1.99449466818926E-4</v>
      </c>
      <c r="K1804" s="1">
        <f>'[1]Electricity and CHPs_CAP'!G$32</f>
        <v>1.9972824753720101E-4</v>
      </c>
    </row>
    <row r="1805" spans="2:11" x14ac:dyDescent="0.25">
      <c r="B1805" s="5" t="str">
        <f t="shared" si="1102"/>
        <v>SPS4</v>
      </c>
      <c r="C1805" s="5" t="str">
        <f t="shared" ref="B1805:C1805" si="1111">C1804</f>
        <v>CH</v>
      </c>
      <c r="D1805" t="s">
        <v>1841</v>
      </c>
      <c r="E1805" t="str">
        <f t="shared" si="1096"/>
        <v>GWe/yr.</v>
      </c>
      <c r="F1805" s="1">
        <f>F1804</f>
        <v>0</v>
      </c>
      <c r="G1805" s="1">
        <f t="shared" ref="G1805:K1805" si="1112">G1804</f>
        <v>0</v>
      </c>
      <c r="H1805" s="1">
        <f t="shared" si="1112"/>
        <v>0</v>
      </c>
      <c r="I1805" s="1">
        <f t="shared" si="1112"/>
        <v>0</v>
      </c>
      <c r="J1805" s="1">
        <f t="shared" si="1112"/>
        <v>1.99449466818926E-4</v>
      </c>
      <c r="K1805" s="1">
        <f t="shared" si="1112"/>
        <v>1.9972824753720101E-4</v>
      </c>
    </row>
    <row r="1806" spans="2:11" x14ac:dyDescent="0.25">
      <c r="B1806" s="5" t="str">
        <f t="shared" si="1102"/>
        <v>SPS4</v>
      </c>
      <c r="C1806" s="5" t="str">
        <f>C1803</f>
        <v>CH</v>
      </c>
      <c r="D1806" t="s">
        <v>1842</v>
      </c>
      <c r="E1806" t="str">
        <f t="shared" si="1096"/>
        <v>GWe/yr.</v>
      </c>
      <c r="F1806" s="1">
        <f t="shared" ref="F1806:K1806" si="1113">SUM(F1807:F1809)</f>
        <v>0</v>
      </c>
      <c r="G1806" s="1">
        <f t="shared" si="1113"/>
        <v>0</v>
      </c>
      <c r="H1806" s="1">
        <f t="shared" si="1113"/>
        <v>0</v>
      </c>
      <c r="I1806" s="1">
        <f t="shared" si="1113"/>
        <v>1.3178690474410879E-4</v>
      </c>
      <c r="J1806" s="1">
        <f t="shared" si="1113"/>
        <v>3.7292837429372706E-3</v>
      </c>
      <c r="K1806" s="1">
        <f t="shared" si="1113"/>
        <v>1.5671830399878017E-2</v>
      </c>
    </row>
    <row r="1807" spans="2:11" x14ac:dyDescent="0.25">
      <c r="B1807" s="5" t="str">
        <f t="shared" si="1102"/>
        <v>SPS4</v>
      </c>
      <c r="C1807" s="5" t="str">
        <f t="shared" si="1110"/>
        <v>CH</v>
      </c>
      <c r="D1807" t="s">
        <v>1843</v>
      </c>
      <c r="E1807" t="str">
        <f t="shared" si="1096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1.76760686543714E-3</v>
      </c>
      <c r="K1807" s="1">
        <f>'[1]Electricity and CHPs_CAP'!G$30</f>
        <v>1.0095463708598736E-2</v>
      </c>
    </row>
    <row r="1808" spans="2:11" x14ac:dyDescent="0.25">
      <c r="B1808" s="5" t="str">
        <f t="shared" si="1102"/>
        <v>SPS4</v>
      </c>
      <c r="C1808" s="5" t="str">
        <f>C1804</f>
        <v>CH</v>
      </c>
      <c r="D1808" t="s">
        <v>1844</v>
      </c>
      <c r="E1808" t="str">
        <f t="shared" si="1096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1.06429347717013E-4</v>
      </c>
      <c r="J1808" s="1">
        <f>'[1]Electricity and CHPs_CAP'!F$46</f>
        <v>1.9237835851553396E-3</v>
      </c>
      <c r="K1808" s="1">
        <f>'[1]Electricity and CHPs_CAP'!G$46</f>
        <v>5.5449978484675968E-3</v>
      </c>
    </row>
    <row r="1809" spans="2:11" x14ac:dyDescent="0.25">
      <c r="B1809" s="5" t="str">
        <f t="shared" si="1102"/>
        <v>SPS4</v>
      </c>
      <c r="C1809" s="5" t="str">
        <f t="shared" si="1110"/>
        <v>CH</v>
      </c>
      <c r="D1809" t="s">
        <v>1845</v>
      </c>
      <c r="E1809" t="str">
        <f t="shared" si="1096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2.53575570270958E-5</v>
      </c>
      <c r="J1809" s="1">
        <f>'[1]Electricity and CHPs_CAP'!F$57</f>
        <v>3.789329234479106E-5</v>
      </c>
      <c r="K1809" s="1">
        <f>'[1]Electricity and CHPs_CAP'!G$57</f>
        <v>3.1368842811686708E-5</v>
      </c>
    </row>
    <row r="1810" spans="2:11" x14ac:dyDescent="0.25">
      <c r="B1810" s="5" t="str">
        <f t="shared" si="1102"/>
        <v>SPS4</v>
      </c>
      <c r="C1810" s="5" t="str">
        <f t="shared" si="1110"/>
        <v>CH</v>
      </c>
      <c r="D1810" t="s">
        <v>1846</v>
      </c>
      <c r="E1810" t="str">
        <f t="shared" si="1096"/>
        <v>GWe/yr.</v>
      </c>
      <c r="F1810" s="1">
        <f>SUM(F1811:F1817)</f>
        <v>0.10167087997971958</v>
      </c>
      <c r="G1810" s="1">
        <f t="shared" ref="G1810:K1810" si="1114">SUM(G1811:G1817)</f>
        <v>7.5074809327611264E-2</v>
      </c>
      <c r="H1810" s="1">
        <f t="shared" si="1114"/>
        <v>7.5088012224383188E-2</v>
      </c>
      <c r="I1810" s="1">
        <f t="shared" si="1114"/>
        <v>0.17546236104128543</v>
      </c>
      <c r="J1810" s="1">
        <f t="shared" si="1114"/>
        <v>0.2157554881645338</v>
      </c>
      <c r="K1810" s="1">
        <f t="shared" si="1114"/>
        <v>0.75893381872694365</v>
      </c>
    </row>
    <row r="1811" spans="2:11" x14ac:dyDescent="0.25">
      <c r="B1811" s="5" t="str">
        <f t="shared" si="1102"/>
        <v>SPS4</v>
      </c>
      <c r="C1811" s="5" t="str">
        <f t="shared" si="1110"/>
        <v>CH</v>
      </c>
      <c r="D1811" t="s">
        <v>1847</v>
      </c>
      <c r="E1811" t="str">
        <f t="shared" si="1096"/>
        <v>GWe/yr.</v>
      </c>
      <c r="F1811" s="1">
        <f>'[1]Electricity and CHPs_CAP'!B$63</f>
        <v>0.1</v>
      </c>
      <c r="G1811" s="1">
        <f>'[1]Electricity and CHPs_CAP'!C$63</f>
        <v>7.3402246406805802E-2</v>
      </c>
      <c r="H1811" s="1">
        <f>'[1]Electricity and CHPs_CAP'!D$63</f>
        <v>7.3402079272981535E-2</v>
      </c>
      <c r="I1811" s="1">
        <f>'[1]Electricity and CHPs_CAP'!E$63</f>
        <v>7.34018782576248E-2</v>
      </c>
      <c r="J1811" s="1">
        <f>'[1]Electricity and CHPs_CAP'!F$63</f>
        <v>7.340224810050873E-2</v>
      </c>
      <c r="K1811" s="1">
        <f>'[1]Electricity and CHPs_CAP'!G$63</f>
        <v>9.9999313052278799E-2</v>
      </c>
    </row>
    <row r="1812" spans="2:11" x14ac:dyDescent="0.25">
      <c r="B1812" s="5" t="str">
        <f t="shared" si="1102"/>
        <v>SPS4</v>
      </c>
      <c r="C1812" s="5" t="str">
        <f t="shared" si="1110"/>
        <v>CH</v>
      </c>
      <c r="D1812" t="s">
        <v>1848</v>
      </c>
      <c r="E1812" t="str">
        <f t="shared" si="1096"/>
        <v>GWe/yr.</v>
      </c>
      <c r="F1812" s="1">
        <f>'[1]Electricity and CHPs_CAP'!B$64</f>
        <v>2.7728420441042401E-4</v>
      </c>
      <c r="G1812" s="1">
        <f>'[1]Electricity and CHPs_CAP'!C$64</f>
        <v>2.7755963505106981E-4</v>
      </c>
      <c r="H1812" s="1">
        <f>'[1]Electricity and CHPs_CAP'!D$64</f>
        <v>2.8119329245810141E-4</v>
      </c>
      <c r="I1812" s="1">
        <f>'[1]Electricity and CHPs_CAP'!E$64</f>
        <v>2.616513233088388E-4</v>
      </c>
      <c r="J1812" s="1">
        <f>'[1]Electricity and CHPs_CAP'!F$64</f>
        <v>6.0702806088216424E-4</v>
      </c>
      <c r="K1812" s="1">
        <f>'[1]Electricity and CHPs_CAP'!G$64</f>
        <v>0.40925193387414499</v>
      </c>
    </row>
    <row r="1813" spans="2:11" x14ac:dyDescent="0.25">
      <c r="B1813" s="5" t="str">
        <f t="shared" si="1102"/>
        <v>SPS4</v>
      </c>
      <c r="C1813" s="5" t="str">
        <f t="shared" si="1110"/>
        <v>CH</v>
      </c>
      <c r="D1813" t="s">
        <v>1849</v>
      </c>
      <c r="E1813" t="str">
        <f t="shared" si="1096"/>
        <v>GWe/yr.</v>
      </c>
      <c r="F1813" s="1">
        <f>'[1]Electricity and CHPs_CAP'!B$65</f>
        <v>2.0209424835346599E-4</v>
      </c>
      <c r="G1813" s="1">
        <f>'[1]Electricity and CHPs_CAP'!C$65</f>
        <v>2.022987522211598E-4</v>
      </c>
      <c r="H1813" s="1">
        <f>'[1]Electricity and CHPs_CAP'!D$65</f>
        <v>2.0468991577880766E-4</v>
      </c>
      <c r="I1813" s="1">
        <f>'[1]Electricity and CHPs_CAP'!E$65</f>
        <v>1.9579743417280144E-4</v>
      </c>
      <c r="J1813" s="1">
        <f>'[1]Electricity and CHPs_CAP'!F$65</f>
        <v>4.6551977530920292E-4</v>
      </c>
      <c r="K1813" s="1">
        <f>'[1]Electricity and CHPs_CAP'!G$65</f>
        <v>1.5822216562926351E-2</v>
      </c>
    </row>
    <row r="1814" spans="2:11" x14ac:dyDescent="0.25">
      <c r="B1814" s="5" t="str">
        <f t="shared" si="1102"/>
        <v>SPS4</v>
      </c>
      <c r="C1814" s="5" t="str">
        <f t="shared" si="1110"/>
        <v>CH</v>
      </c>
      <c r="D1814" t="s">
        <v>1850</v>
      </c>
      <c r="E1814" t="str">
        <f t="shared" si="1096"/>
        <v>GWe/yr.</v>
      </c>
      <c r="F1814" s="1">
        <f>'[1]Electricity and CHPs_CAP'!B$66</f>
        <v>1.8638384910413518E-4</v>
      </c>
      <c r="G1814" s="1">
        <f>'[1]Electricity and CHPs_CAP'!C$66</f>
        <v>1.8656536944842736E-4</v>
      </c>
      <c r="H1814" s="1">
        <f>'[1]Electricity and CHPs_CAP'!D$66</f>
        <v>1.8739305334020422E-4</v>
      </c>
      <c r="I1814" s="1">
        <f>'[1]Electricity and CHPs_CAP'!E$66</f>
        <v>6.7280864072593617E-4</v>
      </c>
      <c r="J1814" s="1">
        <f>'[1]Electricity and CHPs_CAP'!F$66</f>
        <v>1.1002835922611775E-3</v>
      </c>
      <c r="K1814" s="1">
        <f>'[1]Electricity and CHPs_CAP'!G$66</f>
        <v>8.8013733449748258E-4</v>
      </c>
    </row>
    <row r="1815" spans="2:11" x14ac:dyDescent="0.25">
      <c r="B1815" s="5" t="str">
        <f t="shared" si="1102"/>
        <v>SPS4</v>
      </c>
      <c r="C1815" s="5" t="str">
        <f t="shared" si="1110"/>
        <v>CH</v>
      </c>
      <c r="D1815" t="s">
        <v>1856</v>
      </c>
      <c r="E1815" t="str">
        <f t="shared" si="1096"/>
        <v>GWe/yr.</v>
      </c>
      <c r="F1815" s="1">
        <f>'[1]Electricity and CHPs_CAP'!B$67</f>
        <v>4.0892719232365473E-4</v>
      </c>
      <c r="G1815" s="1">
        <f>'[1]Electricity and CHPs_CAP'!C$67</f>
        <v>4.0934709938690193E-4</v>
      </c>
      <c r="H1815" s="1">
        <f>'[1]Electricity and CHPs_CAP'!D$67</f>
        <v>4.1218199603614317E-4</v>
      </c>
      <c r="I1815" s="1">
        <f>'[1]Electricity and CHPs_CAP'!E$67</f>
        <v>4.9213577330181828E-2</v>
      </c>
      <c r="J1815" s="1">
        <f>'[1]Electricity and CHPs_CAP'!F$67</f>
        <v>2.8027532665256337E-2</v>
      </c>
      <c r="K1815" s="1">
        <f>'[1]Electricity and CHPs_CAP'!G$67</f>
        <v>0.11567151346651286</v>
      </c>
    </row>
    <row r="1816" spans="2:11" x14ac:dyDescent="0.25">
      <c r="B1816" s="5" t="str">
        <f t="shared" si="1102"/>
        <v>SPS4</v>
      </c>
      <c r="C1816" s="5" t="str">
        <f t="shared" ref="B1816:C1817" si="1115">C1815</f>
        <v>CH</v>
      </c>
      <c r="D1816" t="s">
        <v>1851</v>
      </c>
      <c r="E1816" t="str">
        <f t="shared" si="1096"/>
        <v>GWe/yr.</v>
      </c>
      <c r="F1816" s="1">
        <f>'[1]Electricity and CHPs_CAP'!B$68</f>
        <v>4.0895306639498243E-4</v>
      </c>
      <c r="G1816" s="1">
        <f>'[1]Electricity and CHPs_CAP'!C$68</f>
        <v>4.0937288474082934E-4</v>
      </c>
      <c r="H1816" s="1">
        <f>'[1]Electricity and CHPs_CAP'!D$68</f>
        <v>4.1221819818798534E-4</v>
      </c>
      <c r="I1816" s="1">
        <f>'[1]Electricity and CHPs_CAP'!E$68</f>
        <v>5.1025801160280035E-2</v>
      </c>
      <c r="J1816" s="1">
        <f>'[1]Electricity and CHPs_CAP'!F$68</f>
        <v>0.11113966914788902</v>
      </c>
      <c r="K1816" s="1">
        <f>'[1]Electricity and CHPs_CAP'!G$68</f>
        <v>0.11657905034251545</v>
      </c>
    </row>
    <row r="1817" spans="2:11" x14ac:dyDescent="0.25">
      <c r="B1817" s="5" t="str">
        <f t="shared" si="1102"/>
        <v>SPS4</v>
      </c>
      <c r="C1817" s="5" t="str">
        <f t="shared" si="1115"/>
        <v>CH</v>
      </c>
      <c r="D1817" t="s">
        <v>1852</v>
      </c>
      <c r="E1817" t="str">
        <f t="shared" si="1096"/>
        <v>GWe/yr.</v>
      </c>
      <c r="F1817" s="1">
        <f>'[1]Electricity and CHPs_CAP'!B$69</f>
        <v>1.8723741913291548E-4</v>
      </c>
      <c r="G1817" s="1">
        <f>'[1]Electricity and CHPs_CAP'!C$69</f>
        <v>1.874191799570777E-4</v>
      </c>
      <c r="H1817" s="1">
        <f>'[1]Electricity and CHPs_CAP'!D$69</f>
        <v>1.882564956004186E-4</v>
      </c>
      <c r="I1817" s="1">
        <f>'[1]Electricity and CHPs_CAP'!E$69</f>
        <v>6.9084689499116338E-4</v>
      </c>
      <c r="J1817" s="1">
        <f>'[1]Electricity and CHPs_CAP'!F$69</f>
        <v>1.0132068224271353E-3</v>
      </c>
      <c r="K1817" s="1">
        <f>'[1]Electricity and CHPs_CAP'!G$69</f>
        <v>7.2965409406778963E-4</v>
      </c>
    </row>
    <row r="1818" spans="2:11" x14ac:dyDescent="0.25">
      <c r="B1818" s="5" t="str">
        <f t="shared" si="1102"/>
        <v>SPS4</v>
      </c>
      <c r="C1818" s="5" t="str">
        <f t="shared" ref="B1818:C1818" si="1116">C1817</f>
        <v>CH</v>
      </c>
      <c r="D1818" s="2" t="s">
        <v>1861</v>
      </c>
      <c r="E1818" s="2" t="s">
        <v>1859</v>
      </c>
      <c r="F1818" s="3">
        <f>SUM(F1819,F1838)</f>
        <v>11.163819200780498</v>
      </c>
      <c r="G1818" s="3">
        <f t="shared" ref="G1818:K1818" si="1117">SUM(G1819,G1838)</f>
        <v>11.776879521547929</v>
      </c>
      <c r="H1818" s="3">
        <f t="shared" si="1117"/>
        <v>12.61328443333807</v>
      </c>
      <c r="I1818" s="3">
        <f t="shared" si="1117"/>
        <v>13.555035751343357</v>
      </c>
      <c r="J1818" s="3">
        <f t="shared" si="1117"/>
        <v>9.7299088836807499</v>
      </c>
      <c r="K1818" s="3">
        <f t="shared" si="1117"/>
        <v>9.5134550982923791</v>
      </c>
    </row>
    <row r="1819" spans="2:11" x14ac:dyDescent="0.25">
      <c r="B1819" s="5" t="str">
        <f t="shared" si="1102"/>
        <v>SPS4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9.3028352077654084</v>
      </c>
      <c r="G1819" s="1">
        <f t="shared" ref="G1819:K1819" si="1118">SUM(G1820,G1823,G1825,G1828,G1830,G1832,G1834,G1836)</f>
        <v>9.7564437057839246</v>
      </c>
      <c r="H1819" s="1">
        <f t="shared" si="1118"/>
        <v>10.599432452322009</v>
      </c>
      <c r="I1819" s="1">
        <f t="shared" si="1118"/>
        <v>11.357897575518574</v>
      </c>
      <c r="J1819" s="1">
        <f t="shared" si="1118"/>
        <v>7.8104854452801442</v>
      </c>
      <c r="K1819" s="1">
        <f t="shared" si="1118"/>
        <v>7.3440993334955369</v>
      </c>
    </row>
    <row r="1820" spans="2:11" x14ac:dyDescent="0.25">
      <c r="B1820" s="5" t="str">
        <f t="shared" si="1102"/>
        <v>SPS4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2.1116613795581642</v>
      </c>
      <c r="G1820" s="1">
        <f t="shared" ref="G1820:K1820" si="1119">SUM(G1821:G1822)</f>
        <v>2.2650810264096415</v>
      </c>
      <c r="H1820" s="1">
        <f t="shared" si="1119"/>
        <v>2.6773454956252394</v>
      </c>
      <c r="I1820" s="1">
        <f t="shared" si="1119"/>
        <v>3.0531283461141814</v>
      </c>
      <c r="J1820" s="1">
        <f t="shared" si="1119"/>
        <v>3.6766003305821156</v>
      </c>
      <c r="K1820" s="1">
        <f t="shared" si="1119"/>
        <v>4.1656312997030902</v>
      </c>
    </row>
    <row r="1821" spans="2:11" x14ac:dyDescent="0.25">
      <c r="B1821" s="5" t="str">
        <f t="shared" si="1102"/>
        <v>SPS4</v>
      </c>
      <c r="C1821" s="5" t="str">
        <f t="shared" ref="B1821:C1821" si="1120">C1820</f>
        <v>CH</v>
      </c>
      <c r="D1821" t="s">
        <v>1863</v>
      </c>
      <c r="E1821" t="str">
        <f t="shared" ref="E1821:E1884" si="1121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0.67257072602968249</v>
      </c>
      <c r="G1821" s="1" cm="1">
        <f t="array" ref="G1821">SUMPRODUCT(([1]OUT_FinalEnergyCons!$B$4:$B$10000="var_cap")*1,(ISNUMBER(SEARCH("RH*-SHELCBR",[1]OUT_FinalEnergyCons!$A$4:$A$10000)))*1,[1]OUT_FinalEnergyCons!E$4:E$10000)</f>
        <v>0.60161161478985448</v>
      </c>
      <c r="H1821" s="1" cm="1">
        <f t="array" ref="H1821">SUMPRODUCT(([1]OUT_FinalEnergyCons!$B$4:$B$10000="var_cap")*1,(ISNUMBER(SEARCH("RH*-SHELCBR",[1]OUT_FinalEnergyCons!$A$4:$A$10000)))*1,[1]OUT_FinalEnergyCons!F$4:F$10000)</f>
        <v>0.1308136210436785</v>
      </c>
      <c r="I1821" s="1" cm="1">
        <f t="array" ref="I1821">SUMPRODUCT(([1]OUT_FinalEnergyCons!$B$4:$B$10000="var_cap")*1,(ISNUMBER(SEARCH("RH*-SHELCBR",[1]OUT_FinalEnergyCons!$A$4:$A$10000)))*1,[1]OUT_FinalEnergyCons!G$4:G$10000)</f>
        <v>4.3159560580118966E-2</v>
      </c>
      <c r="J1821" s="1" cm="1">
        <f t="array" ref="J1821">SUMPRODUCT(([1]OUT_FinalEnergyCons!$B$4:$B$10000="var_cap")*1,(ISNUMBER(SEARCH("RH*-SHELCBR",[1]OUT_FinalEnergyCons!$A$4:$A$10000)))*1,[1]OUT_FinalEnergyCons!H$4:H$10000)</f>
        <v>9.3719163955798893E-3</v>
      </c>
      <c r="K1821" s="1" cm="1">
        <f t="array" ref="K1821">SUMPRODUCT(([1]OUT_FinalEnergyCons!$B$4:$B$10000="var_cap")*1,(ISNUMBER(SEARCH("RH*-SHELCBR",[1]OUT_FinalEnergyCons!$A$4:$A$10000)))*1,[1]OUT_FinalEnergyCons!I$4:I$10000)</f>
        <v>4.1910486106254115E-3</v>
      </c>
    </row>
    <row r="1822" spans="2:11" x14ac:dyDescent="0.25">
      <c r="B1822" s="5" t="str">
        <f t="shared" si="1102"/>
        <v>SPS4</v>
      </c>
      <c r="C1822" s="5" t="str">
        <f t="shared" ref="B1822:C1822" si="1122">C1821</f>
        <v>CH</v>
      </c>
      <c r="D1822" t="s">
        <v>1864</v>
      </c>
      <c r="E1822" t="str">
        <f t="shared" si="1121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1.4390906535284818</v>
      </c>
      <c r="G1822" s="1" cm="1">
        <f t="array" ref="G1822">SUMPRODUCT(([1]OUT_FinalEnergyCons!$B$4:$B$10000="var_cap")*1,ISNUMBER(SEARCH("RH*-SHELCHP",[1]OUT_FinalEnergyCons!$A$4:$A$10000))*1,[1]OUT_FinalEnergyCons!E$4:E$10000)</f>
        <v>1.663469411619787</v>
      </c>
      <c r="H1822" s="1" cm="1">
        <f t="array" ref="H1822">SUMPRODUCT(([1]OUT_FinalEnergyCons!$B$4:$B$10000="var_cap")*1,ISNUMBER(SEARCH("RH*-SHELCHP",[1]OUT_FinalEnergyCons!$A$4:$A$10000))*1,[1]OUT_FinalEnergyCons!F$4:F$10000)</f>
        <v>2.5465318745815608</v>
      </c>
      <c r="I1822" s="1" cm="1">
        <f t="array" ref="I1822">SUMPRODUCT(([1]OUT_FinalEnergyCons!$B$4:$B$10000="var_cap")*1,ISNUMBER(SEARCH("RH*-SHELCHP",[1]OUT_FinalEnergyCons!$A$4:$A$10000))*1,[1]OUT_FinalEnergyCons!G$4:G$10000)</f>
        <v>3.0099687855340624</v>
      </c>
      <c r="J1822" s="1" cm="1">
        <f t="array" ref="J1822">SUMPRODUCT(([1]OUT_FinalEnergyCons!$B$4:$B$10000="var_cap")*1,ISNUMBER(SEARCH("RH*-SHELCHP",[1]OUT_FinalEnergyCons!$A$4:$A$10000))*1,[1]OUT_FinalEnergyCons!H$4:H$10000)</f>
        <v>3.6672284141865354</v>
      </c>
      <c r="K1822" s="1" cm="1">
        <f t="array" ref="K1822">SUMPRODUCT(([1]OUT_FinalEnergyCons!$B$4:$B$10000="var_cap")*1,ISNUMBER(SEARCH("RH*-SHELCHP",[1]OUT_FinalEnergyCons!$A$4:$A$10000))*1,[1]OUT_FinalEnergyCons!I$4:I$10000)</f>
        <v>4.1614402510924648</v>
      </c>
    </row>
    <row r="1823" spans="2:11" x14ac:dyDescent="0.25">
      <c r="B1823" s="5" t="str">
        <f t="shared" si="1102"/>
        <v>SPS4</v>
      </c>
      <c r="C1823" s="5" t="str">
        <f t="shared" ref="B1823:C1823" si="1123">C1822</f>
        <v>CH</v>
      </c>
      <c r="D1823" t="s">
        <v>1865</v>
      </c>
      <c r="E1823" t="str">
        <f t="shared" si="1121"/>
        <v>GWth/yr.</v>
      </c>
      <c r="F1823" s="1">
        <f>F1824</f>
        <v>3.4074053831106799</v>
      </c>
      <c r="G1823" s="1">
        <f t="shared" ref="G1823:K1823" si="1124">G1824</f>
        <v>3.4073155810840028</v>
      </c>
      <c r="H1823" s="1">
        <f t="shared" si="1124"/>
        <v>3.4497079977514549</v>
      </c>
      <c r="I1823" s="1">
        <f t="shared" si="1124"/>
        <v>3.4496902727050931</v>
      </c>
      <c r="J1823" s="1">
        <f t="shared" si="1124"/>
        <v>0.93212455859422483</v>
      </c>
      <c r="K1823" s="1">
        <f t="shared" si="1124"/>
        <v>0.34850309772737265</v>
      </c>
    </row>
    <row r="1824" spans="2:11" x14ac:dyDescent="0.25">
      <c r="B1824" s="5" t="str">
        <f t="shared" si="1102"/>
        <v>SPS4</v>
      </c>
      <c r="C1824" s="5" t="str">
        <f t="shared" ref="B1824:C1824" si="1125">C1823</f>
        <v>CH</v>
      </c>
      <c r="D1824" t="s">
        <v>1866</v>
      </c>
      <c r="E1824" t="str">
        <f t="shared" si="1121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3.4073155810840028</v>
      </c>
      <c r="H1824" s="1" cm="1">
        <f t="array" ref="H1824">SUMPRODUCT(([1]OUT_FinalEnergyCons!$B$4:$B$10000="var_cap")*1, (ISNUMBER(SEARCH("RH*-SHLFOBR",[1]OUT_FinalEnergyCons!$A$4:$A$10000)))*1,[1]OUT_FinalEnergyCons!F$4:F$10000)</f>
        <v>3.4497079977514549</v>
      </c>
      <c r="I1824" s="1" cm="1">
        <f t="array" ref="I1824">SUMPRODUCT(([1]OUT_FinalEnergyCons!$B$4:$B$10000="var_cap")*1, (ISNUMBER(SEARCH("RH*-SHLFOBR",[1]OUT_FinalEnergyCons!$A$4:$A$10000)))*1,[1]OUT_FinalEnergyCons!G$4:G$10000)</f>
        <v>3.4496902727050931</v>
      </c>
      <c r="J1824" s="1" cm="1">
        <f t="array" ref="J1824">SUMPRODUCT(([1]OUT_FinalEnergyCons!$B$4:$B$10000="var_cap")*1, (ISNUMBER(SEARCH("RH*-SHLFOBR",[1]OUT_FinalEnergyCons!$A$4:$A$10000)))*1,[1]OUT_FinalEnergyCons!H$4:H$10000)</f>
        <v>0.93212455859422483</v>
      </c>
      <c r="K1824" s="1" cm="1">
        <f t="array" ref="K1824">SUMPRODUCT(([1]OUT_FinalEnergyCons!$B$4:$B$10000="var_cap")*1, (ISNUMBER(SEARCH("RH*-SHLFOBR",[1]OUT_FinalEnergyCons!$A$4:$A$10000)))*1,[1]OUT_FinalEnergyCons!I$4:I$10000)</f>
        <v>0.34850309772737265</v>
      </c>
    </row>
    <row r="1825" spans="2:11" x14ac:dyDescent="0.25">
      <c r="B1825" s="5" t="str">
        <f t="shared" si="1102"/>
        <v>SPS4</v>
      </c>
      <c r="C1825" s="5" t="str">
        <f t="shared" ref="B1825:C1825" si="1126">C1824</f>
        <v>CH</v>
      </c>
      <c r="D1825" t="s">
        <v>1867</v>
      </c>
      <c r="E1825" t="str">
        <f t="shared" si="1121"/>
        <v>GWth/yr.</v>
      </c>
      <c r="F1825" s="1">
        <f>SUM(F1826:F1827)</f>
        <v>2.7687540975056786</v>
      </c>
      <c r="G1825" s="1">
        <f t="shared" ref="G1825:K1825" si="1127">SUM(G1826:G1827)</f>
        <v>2.9491887702419897</v>
      </c>
      <c r="H1825" s="1">
        <f t="shared" si="1127"/>
        <v>3.4768193035623431</v>
      </c>
      <c r="I1825" s="1">
        <f t="shared" si="1127"/>
        <v>3.8552483689015449</v>
      </c>
      <c r="J1825" s="1">
        <f t="shared" si="1127"/>
        <v>2.4038884414447579</v>
      </c>
      <c r="K1825" s="1">
        <f t="shared" si="1127"/>
        <v>2.1870550908316213</v>
      </c>
    </row>
    <row r="1826" spans="2:11" x14ac:dyDescent="0.25">
      <c r="B1826" s="5" t="str">
        <f t="shared" si="1102"/>
        <v>SPS4</v>
      </c>
      <c r="C1826" s="5" t="str">
        <f t="shared" ref="B1826:C1826" si="1128">C1825</f>
        <v>CH</v>
      </c>
      <c r="D1826" t="s">
        <v>1868</v>
      </c>
      <c r="E1826" t="str">
        <f t="shared" si="1121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2.9491881859553173</v>
      </c>
      <c r="H1826" s="1" cm="1">
        <f t="array" ref="H1826">SUMPRODUCT(([1]OUT_FinalEnergyCons!$B$4:$B$10000="var_cap")*1, (ISNUMBER(SEARCH("RH*-SHNGABR",[1]OUT_FinalEnergyCons!$A$4:$A$10000)))*1,[1]OUT_FinalEnergyCons!F$4:F$10000)</f>
        <v>3.1355535480163161</v>
      </c>
      <c r="I1826" s="1" cm="1">
        <f t="array" ref="I1826">SUMPRODUCT(([1]OUT_FinalEnergyCons!$B$4:$B$10000="var_cap")*1, (ISNUMBER(SEARCH("RH*-SHNGABR",[1]OUT_FinalEnergyCons!$A$4:$A$10000)))*1,[1]OUT_FinalEnergyCons!G$4:G$10000)</f>
        <v>3.1361649873611976</v>
      </c>
      <c r="J1826" s="1" cm="1">
        <f t="array" ref="J1826">SUMPRODUCT(([1]OUT_FinalEnergyCons!$B$4:$B$10000="var_cap")*1, (ISNUMBER(SEARCH("RH*-SHNGABR",[1]OUT_FinalEnergyCons!$A$4:$A$10000)))*1,[1]OUT_FinalEnergyCons!H$4:H$10000)</f>
        <v>1.260996145018028</v>
      </c>
      <c r="K1826" s="1" cm="1">
        <f t="array" ref="K1826">SUMPRODUCT(([1]OUT_FinalEnergyCons!$B$4:$B$10000="var_cap")*1, (ISNUMBER(SEARCH("RH*-SHNGABR",[1]OUT_FinalEnergyCons!$A$4:$A$10000)))*1,[1]OUT_FinalEnergyCons!I$4:I$10000)</f>
        <v>0.698953247784739</v>
      </c>
    </row>
    <row r="1827" spans="2:11" x14ac:dyDescent="0.25">
      <c r="B1827" s="5" t="str">
        <f t="shared" si="1102"/>
        <v>SPS4</v>
      </c>
      <c r="C1827" s="5" t="str">
        <f t="shared" ref="B1827:C1827" si="1129">C1826</f>
        <v>CH</v>
      </c>
      <c r="D1827" t="s">
        <v>1869</v>
      </c>
      <c r="E1827" t="str">
        <f t="shared" si="1121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4.62673286489002E-8</v>
      </c>
      <c r="G1827" s="1" cm="1">
        <f t="array" ref="G1827">SUMPRODUCT(([1]OUT_FinalEnergyCons!$B$4:$B$10000="var_cap")*1,ISNUMBER(SEARCH("RH*-SHngahp",[1]OUT_FinalEnergyCons!$A$4:$A$10000))*1,[1]OUT_FinalEnergyCons!E$4:E$10000)</f>
        <v>5.8428667225049983E-7</v>
      </c>
      <c r="H1827" s="1" cm="1">
        <f t="array" ref="H1827">SUMPRODUCT(([1]OUT_FinalEnergyCons!$B$4:$B$10000="var_cap")*1,ISNUMBER(SEARCH("RH*-SHngahp",[1]OUT_FinalEnergyCons!$A$4:$A$10000))*1,[1]OUT_FinalEnergyCons!F$4:F$10000)</f>
        <v>0.34126575554602678</v>
      </c>
      <c r="I1827" s="1" cm="1">
        <f t="array" ref="I1827">SUMPRODUCT(([1]OUT_FinalEnergyCons!$B$4:$B$10000="var_cap")*1,ISNUMBER(SEARCH("RH*-SHngahp",[1]OUT_FinalEnergyCons!$A$4:$A$10000))*1,[1]OUT_FinalEnergyCons!G$4:G$10000)</f>
        <v>0.71908338154034723</v>
      </c>
      <c r="J1827" s="1" cm="1">
        <f t="array" ref="J1827">SUMPRODUCT(([1]OUT_FinalEnergyCons!$B$4:$B$10000="var_cap")*1,ISNUMBER(SEARCH("RH*-SHngahp",[1]OUT_FinalEnergyCons!$A$4:$A$10000))*1,[1]OUT_FinalEnergyCons!H$4:H$10000)</f>
        <v>1.1428922964267298</v>
      </c>
      <c r="K1827" s="1" cm="1">
        <f t="array" ref="K1827">SUMPRODUCT(([1]OUT_FinalEnergyCons!$B$4:$B$10000="var_cap")*1,ISNUMBER(SEARCH("RH*-SHngahp",[1]OUT_FinalEnergyCons!$A$4:$A$10000))*1,[1]OUT_FinalEnergyCons!I$4:I$10000)</f>
        <v>1.4881018430468824</v>
      </c>
    </row>
    <row r="1828" spans="2:11" x14ac:dyDescent="0.25">
      <c r="B1828" s="5" t="str">
        <f t="shared" si="1102"/>
        <v>SPS4</v>
      </c>
      <c r="C1828" s="5" t="str">
        <f t="shared" ref="B1828:C1828" si="1130">C1827</f>
        <v>CH</v>
      </c>
      <c r="D1828" t="s">
        <v>1870</v>
      </c>
      <c r="E1828" t="str">
        <f t="shared" si="1121"/>
        <v>GWth/yr.</v>
      </c>
      <c r="F1828" s="1">
        <f>F1829</f>
        <v>7.0000000000000001E-3</v>
      </c>
      <c r="G1828" s="1">
        <f t="shared" ref="G1828:K1828" si="1131">G1829</f>
        <v>6.2914693569453639E-3</v>
      </c>
      <c r="H1828" s="1">
        <f t="shared" si="1131"/>
        <v>2.05379730807447E-3</v>
      </c>
      <c r="I1828" s="1">
        <f t="shared" si="1131"/>
        <v>5.2879251103048024E-4</v>
      </c>
      <c r="J1828" s="1">
        <f t="shared" si="1131"/>
        <v>0</v>
      </c>
      <c r="K1828" s="1">
        <f t="shared" si="1131"/>
        <v>0</v>
      </c>
    </row>
    <row r="1829" spans="2:11" x14ac:dyDescent="0.25">
      <c r="B1829" s="5" t="str">
        <f t="shared" si="1102"/>
        <v>SPS4</v>
      </c>
      <c r="C1829" s="5" t="str">
        <f t="shared" ref="B1829:C1829" si="1132">C1828</f>
        <v>CH</v>
      </c>
      <c r="D1829" t="s">
        <v>1871</v>
      </c>
      <c r="E1829" t="str">
        <f t="shared" si="1121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6.2914693569453639E-3</v>
      </c>
      <c r="H1829" s="1" cm="1">
        <f t="array" ref="H1829">SUMPRODUCT(([1]OUT_FinalEnergyCons!$B$4:$B$10000="var_cap")*1, (ISNUMBER(SEARCH("RH*-SHCOABR",[1]OUT_FinalEnergyCons!$A$4:$A$10000)))*1,[1]OUT_FinalEnergyCons!F$4:F$10000)</f>
        <v>2.05379730807447E-3</v>
      </c>
      <c r="I1829" s="1" cm="1">
        <f t="array" ref="I1829">SUMPRODUCT(([1]OUT_FinalEnergyCons!$B$4:$B$10000="var_cap")*1, (ISNUMBER(SEARCH("RH*-SHCOABR",[1]OUT_FinalEnergyCons!$A$4:$A$10000)))*1,[1]OUT_FinalEnergyCons!G$4:G$10000)</f>
        <v>5.2879251103048024E-4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 t="shared" si="1102"/>
        <v>SPS4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0.68950100421183813</v>
      </c>
      <c r="G1830" s="1">
        <f t="shared" ref="G1830:K1830" si="1133">G1831</f>
        <v>0.75125714674225685</v>
      </c>
      <c r="H1830" s="1">
        <f t="shared" si="1133"/>
        <v>0.79613077844432845</v>
      </c>
      <c r="I1830" s="1">
        <f t="shared" si="1133"/>
        <v>0.80165368612540566</v>
      </c>
      <c r="J1830" s="1">
        <f t="shared" si="1133"/>
        <v>0.72153457792411524</v>
      </c>
      <c r="K1830" s="1">
        <f t="shared" si="1133"/>
        <v>0.54748824139699348</v>
      </c>
    </row>
    <row r="1831" spans="2:11" x14ac:dyDescent="0.25">
      <c r="B1831" s="5" t="str">
        <f t="shared" si="1102"/>
        <v>SPS4</v>
      </c>
      <c r="C1831" s="5" t="str">
        <f t="shared" ref="B1831:C1831" si="1134">C1830</f>
        <v>CH</v>
      </c>
      <c r="D1831" t="s">
        <v>1873</v>
      </c>
      <c r="E1831" t="str">
        <f t="shared" si="1121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0.68950100421183813</v>
      </c>
      <c r="G1831" s="1" cm="1">
        <f t="array" ref="G1831">SUMPRODUCT(([1]OUT_FinalEnergyCons!$B$4:$B$10000="var_cap")*1, (ISNUMBER(SEARCH("RH*-SHWODBR",[1]OUT_FinalEnergyCons!$A$4:$A$10000)))*1,[1]OUT_FinalEnergyCons!E$4:E$10000)</f>
        <v>0.75125714674225685</v>
      </c>
      <c r="H1831" s="1" cm="1">
        <f t="array" ref="H1831">SUMPRODUCT(([1]OUT_FinalEnergyCons!$B$4:$B$10000="var_cap")*1, (ISNUMBER(SEARCH("RH*-SHWODBR",[1]OUT_FinalEnergyCons!$A$4:$A$10000)))*1,[1]OUT_FinalEnergyCons!F$4:F$10000)</f>
        <v>0.79613077844432845</v>
      </c>
      <c r="I1831" s="1" cm="1">
        <f t="array" ref="I1831">SUMPRODUCT(([1]OUT_FinalEnergyCons!$B$4:$B$10000="var_cap")*1, (ISNUMBER(SEARCH("RH*-SHWODBR",[1]OUT_FinalEnergyCons!$A$4:$A$10000)))*1,[1]OUT_FinalEnergyCons!G$4:G$10000)</f>
        <v>0.80165368612540566</v>
      </c>
      <c r="J1831" s="1" cm="1">
        <f t="array" ref="J1831">SUMPRODUCT(([1]OUT_FinalEnergyCons!$B$4:$B$10000="var_cap")*1, (ISNUMBER(SEARCH("RH*-SHWODBR",[1]OUT_FinalEnergyCons!$A$4:$A$10000)))*1,[1]OUT_FinalEnergyCons!H$4:H$10000)</f>
        <v>0.72153457792411524</v>
      </c>
      <c r="K1831" s="1" cm="1">
        <f t="array" ref="K1831">SUMPRODUCT(([1]OUT_FinalEnergyCons!$B$4:$B$10000="var_cap")*1, (ISNUMBER(SEARCH("RH*-SHWODBR",[1]OUT_FinalEnergyCons!$A$4:$A$10000)))*1,[1]OUT_FinalEnergyCons!I$4:I$10000)</f>
        <v>0.54748824139699348</v>
      </c>
    </row>
    <row r="1832" spans="2:11" x14ac:dyDescent="0.25">
      <c r="B1832" s="5" t="str">
        <f t="shared" si="1102"/>
        <v>SPS4</v>
      </c>
      <c r="C1832" s="5" t="str">
        <f t="shared" ref="B1832:C1832" si="1135">C1831</f>
        <v>CH</v>
      </c>
      <c r="D1832" t="s">
        <v>1874</v>
      </c>
      <c r="E1832" t="str">
        <f t="shared" si="1121"/>
        <v>GWth/yr.</v>
      </c>
      <c r="F1832" s="1">
        <f>F1833</f>
        <v>0.20441391066209325</v>
      </c>
      <c r="G1832" s="1">
        <f t="shared" ref="G1832:K1832" si="1136">G1833</f>
        <v>0.24030344226689454</v>
      </c>
      <c r="H1832" s="1">
        <f t="shared" si="1136"/>
        <v>6.0386666944612005E-2</v>
      </c>
      <c r="I1832" s="1">
        <f t="shared" si="1136"/>
        <v>6.0659501284436479E-2</v>
      </c>
      <c r="J1832" s="1">
        <f t="shared" si="1136"/>
        <v>7.0333039041548612E-2</v>
      </c>
      <c r="K1832" s="1">
        <f t="shared" si="1136"/>
        <v>8.9180075701511166E-2</v>
      </c>
    </row>
    <row r="1833" spans="2:11" x14ac:dyDescent="0.25">
      <c r="B1833" s="5" t="str">
        <f t="shared" si="1102"/>
        <v>SPS4</v>
      </c>
      <c r="C1833" s="5" t="str">
        <f t="shared" ref="B1833:C1833" si="1137">C1832</f>
        <v>CH</v>
      </c>
      <c r="D1833" t="s">
        <v>1875</v>
      </c>
      <c r="E1833" t="str">
        <f t="shared" si="1121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0.20441391066209325</v>
      </c>
      <c r="G1833" s="1" cm="1">
        <f t="array" ref="G1833">SUMPRODUCT(([1]OUT_FinalEnergyCons!$B$4:$B$10000="var_cap")*1, (ISNUMBER(SEARCH("RH*-SHPLTBR",[1]OUT_FinalEnergyCons!$A$4:$A$10000)))*1,[1]OUT_FinalEnergyCons!E$4:E$10000)</f>
        <v>0.24030344226689454</v>
      </c>
      <c r="H1833" s="1" cm="1">
        <f t="array" ref="H1833">SUMPRODUCT(([1]OUT_FinalEnergyCons!$B$4:$B$10000="var_cap")*1, (ISNUMBER(SEARCH("RH*-SHPLTBR",[1]OUT_FinalEnergyCons!$A$4:$A$10000)))*1,[1]OUT_FinalEnergyCons!F$4:F$10000)</f>
        <v>6.0386666944612005E-2</v>
      </c>
      <c r="I1833" s="1" cm="1">
        <f t="array" ref="I1833">SUMPRODUCT(([1]OUT_FinalEnergyCons!$B$4:$B$10000="var_cap")*1, (ISNUMBER(SEARCH("RH*-SHPLTBR",[1]OUT_FinalEnergyCons!$A$4:$A$10000)))*1,[1]OUT_FinalEnergyCons!G$4:G$10000)</f>
        <v>6.0659501284436479E-2</v>
      </c>
      <c r="J1833" s="1" cm="1">
        <f t="array" ref="J1833">SUMPRODUCT(([1]OUT_FinalEnergyCons!$B$4:$B$10000="var_cap")*1, (ISNUMBER(SEARCH("RH*-SHPLTBR",[1]OUT_FinalEnergyCons!$A$4:$A$10000)))*1,[1]OUT_FinalEnergyCons!H$4:H$10000)</f>
        <v>7.0333039041548612E-2</v>
      </c>
      <c r="K1833" s="1" cm="1">
        <f t="array" ref="K1833">SUMPRODUCT(([1]OUT_FinalEnergyCons!$B$4:$B$10000="var_cap")*1, (ISNUMBER(SEARCH("RH*-SHPLTBR",[1]OUT_FinalEnergyCons!$A$4:$A$10000)))*1,[1]OUT_FinalEnergyCons!I$4:I$10000)</f>
        <v>8.9180075701511166E-2</v>
      </c>
    </row>
    <row r="1834" spans="2:11" x14ac:dyDescent="0.25">
      <c r="B1834" s="5" t="str">
        <f t="shared" si="1102"/>
        <v>SPS4</v>
      </c>
      <c r="C1834" s="5" t="str">
        <f t="shared" ref="B1834:C1834" si="1138">C1833</f>
        <v>CH</v>
      </c>
      <c r="D1834" t="s">
        <v>1876</v>
      </c>
      <c r="E1834" t="str">
        <f t="shared" si="1121"/>
        <v>GWth/yr.</v>
      </c>
      <c r="F1834" s="1">
        <f>F1835</f>
        <v>0.11409943271695305</v>
      </c>
      <c r="G1834" s="1">
        <f t="shared" ref="G1834:K1834" si="1139">G1835</f>
        <v>0.13700626968219393</v>
      </c>
      <c r="H1834" s="1">
        <f t="shared" si="1139"/>
        <v>0.13698841268595716</v>
      </c>
      <c r="I1834" s="1">
        <f t="shared" si="1139"/>
        <v>0.1369886078768818</v>
      </c>
      <c r="J1834" s="1">
        <f t="shared" si="1139"/>
        <v>6.0044976933826388E-3</v>
      </c>
      <c r="K1834" s="1">
        <f t="shared" si="1139"/>
        <v>6.2415281349471963E-3</v>
      </c>
    </row>
    <row r="1835" spans="2:11" x14ac:dyDescent="0.25">
      <c r="B1835" s="5" t="str">
        <f t="shared" si="1102"/>
        <v>SPS4</v>
      </c>
      <c r="C1835" s="5" t="str">
        <f t="shared" ref="B1835:C1835" si="1140">C1834</f>
        <v>CH</v>
      </c>
      <c r="D1835" t="s">
        <v>1877</v>
      </c>
      <c r="E1835" t="str">
        <f t="shared" si="1121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0.11409943271695305</v>
      </c>
      <c r="G1835" s="1" cm="1">
        <f t="array" ref="G1835">SUMPRODUCT(([1]OUT_FinalEnergyCons!$B$4:$B$10000="var_cap")*1, (ISNUMBER(SEARCH("RH*-SHSOLBR",[1]OUT_FinalEnergyCons!$A$4:$A$10000)))*1,[1]OUT_FinalEnergyCons!E$4:E$10000)</f>
        <v>0.13700626968219393</v>
      </c>
      <c r="H1835" s="1" cm="1">
        <f t="array" ref="H1835">SUMPRODUCT(([1]OUT_FinalEnergyCons!$B$4:$B$10000="var_cap")*1, (ISNUMBER(SEARCH("RH*-SHSOLBR",[1]OUT_FinalEnergyCons!$A$4:$A$10000)))*1,[1]OUT_FinalEnergyCons!F$4:F$10000)</f>
        <v>0.13698841268595716</v>
      </c>
      <c r="I1835" s="1" cm="1">
        <f t="array" ref="I1835">SUMPRODUCT(([1]OUT_FinalEnergyCons!$B$4:$B$10000="var_cap")*1, (ISNUMBER(SEARCH("RH*-SHSOLBR",[1]OUT_FinalEnergyCons!$A$4:$A$10000)))*1,[1]OUT_FinalEnergyCons!G$4:G$10000)</f>
        <v>0.1369886078768818</v>
      </c>
      <c r="J1835" s="1" cm="1">
        <f t="array" ref="J1835">SUMPRODUCT(([1]OUT_FinalEnergyCons!$B$4:$B$10000="var_cap")*1, (ISNUMBER(SEARCH("RH*-SHSOLBR",[1]OUT_FinalEnergyCons!$A$4:$A$10000)))*1,[1]OUT_FinalEnergyCons!H$4:H$10000)</f>
        <v>6.0044976933826388E-3</v>
      </c>
      <c r="K1835" s="1" cm="1">
        <f t="array" ref="K1835">SUMPRODUCT(([1]OUT_FinalEnergyCons!$B$4:$B$10000="var_cap")*1, (ISNUMBER(SEARCH("RH*-SHSOLBR",[1]OUT_FinalEnergyCons!$A$4:$A$10000)))*1,[1]OUT_FinalEnergyCons!I$4:I$10000)</f>
        <v>6.2415281349471963E-3</v>
      </c>
    </row>
    <row r="1836" spans="2:11" x14ac:dyDescent="0.25">
      <c r="B1836" s="5" t="str">
        <f t="shared" si="1102"/>
        <v>SPS4</v>
      </c>
      <c r="C1836" s="5" t="str">
        <f t="shared" ref="B1836:C1836" si="1141">C1835</f>
        <v>CH</v>
      </c>
      <c r="D1836" t="s">
        <v>1878</v>
      </c>
      <c r="E1836" t="str">
        <f t="shared" si="1121"/>
        <v>GWth/yr.</v>
      </c>
      <c r="F1836" s="1">
        <f>F1837</f>
        <v>0</v>
      </c>
      <c r="G1836" s="1">
        <f t="shared" ref="G1836:K1836" si="1142">G1837</f>
        <v>0</v>
      </c>
      <c r="H1836" s="1">
        <f t="shared" si="1142"/>
        <v>0</v>
      </c>
      <c r="I1836" s="1">
        <f t="shared" si="1142"/>
        <v>0</v>
      </c>
      <c r="J1836" s="1">
        <f t="shared" si="1142"/>
        <v>0</v>
      </c>
      <c r="K1836" s="1">
        <f t="shared" si="1142"/>
        <v>0</v>
      </c>
    </row>
    <row r="1837" spans="2:11" x14ac:dyDescent="0.25">
      <c r="B1837" s="5" t="str">
        <f t="shared" si="1102"/>
        <v>SPS4</v>
      </c>
      <c r="C1837" s="5" t="str">
        <f t="shared" ref="B1837:C1837" si="1143">C1836</f>
        <v>CH</v>
      </c>
      <c r="D1837" t="s">
        <v>1879</v>
      </c>
      <c r="E1837" t="str">
        <f t="shared" si="1121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si="1102"/>
        <v>SPS4</v>
      </c>
      <c r="C1838" s="5" t="str">
        <f t="shared" ref="B1838:C1838" si="1144">C1837</f>
        <v>CH</v>
      </c>
      <c r="D1838" t="s">
        <v>1880</v>
      </c>
      <c r="E1838" t="str">
        <f t="shared" si="1121"/>
        <v>GWth/yr.</v>
      </c>
      <c r="F1838" s="1">
        <f>SUM(F1839,F1842,F1844,F1847,F1849,F1851,F1853,F1855)</f>
        <v>1.8609839930150904</v>
      </c>
      <c r="G1838" s="1">
        <f t="shared" ref="G1838" si="1145">SUM(G1839,G1842,G1844,G1847,G1849,G1851,G1853,G1855)</f>
        <v>2.0204358157640039</v>
      </c>
      <c r="H1838" s="1">
        <f t="shared" ref="H1838" si="1146">SUM(H1839,H1842,H1844,H1847,H1849,H1851,H1853,H1855)</f>
        <v>2.0138519810160611</v>
      </c>
      <c r="I1838" s="1">
        <f t="shared" ref="I1838" si="1147">SUM(I1839,I1842,I1844,I1847,I1849,I1851,I1853,I1855)</f>
        <v>2.1971381758247834</v>
      </c>
      <c r="J1838" s="1">
        <f t="shared" ref="J1838" si="1148">SUM(J1839,J1842,J1844,J1847,J1849,J1851,J1853,J1855)</f>
        <v>1.919423438400605</v>
      </c>
      <c r="K1838" s="1">
        <f t="shared" ref="K1838" si="1149">SUM(K1839,K1842,K1844,K1847,K1849,K1851,K1853,K1855)</f>
        <v>2.1693557647968418</v>
      </c>
    </row>
    <row r="1839" spans="2:11" x14ac:dyDescent="0.25">
      <c r="B1839" s="5" t="str">
        <f t="shared" si="1102"/>
        <v>SPS4</v>
      </c>
      <c r="C1839" s="5" t="str">
        <f t="shared" ref="B1839:C1839" si="1150">C1838</f>
        <v>CH</v>
      </c>
      <c r="D1839" t="s">
        <v>1881</v>
      </c>
      <c r="E1839" t="str">
        <f t="shared" si="1121"/>
        <v>GWth/yr.</v>
      </c>
      <c r="F1839" s="1">
        <f>SUM(F1840:F1841)</f>
        <v>0.65092588449294586</v>
      </c>
      <c r="G1839" s="1">
        <f t="shared" ref="G1839" si="1151">SUM(G1840:G1841)</f>
        <v>0.71890943289385223</v>
      </c>
      <c r="H1839" s="1">
        <f t="shared" ref="H1839" si="1152">SUM(H1840:H1841)</f>
        <v>0.64046532570755466</v>
      </c>
      <c r="I1839" s="1">
        <f t="shared" ref="I1839" si="1153">SUM(I1840:I1841)</f>
        <v>0.72548640037007006</v>
      </c>
      <c r="J1839" s="1">
        <f t="shared" ref="J1839" si="1154">SUM(J1840:J1841)</f>
        <v>0.87825227296038766</v>
      </c>
      <c r="K1839" s="1">
        <f t="shared" ref="K1839" si="1155">SUM(K1840:K1841)</f>
        <v>1.0529658070609567</v>
      </c>
    </row>
    <row r="1840" spans="2:11" x14ac:dyDescent="0.25">
      <c r="B1840" s="5" t="str">
        <f t="shared" si="1102"/>
        <v>SPS4</v>
      </c>
      <c r="C1840" s="5" t="str">
        <f t="shared" ref="B1840:C1840" si="1156">C1839</f>
        <v>CH</v>
      </c>
      <c r="D1840" t="s">
        <v>1882</v>
      </c>
      <c r="E1840" t="str">
        <f t="shared" si="1121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0.43757099187328663</v>
      </c>
      <c r="G1840" s="1" cm="1">
        <f t="array" ref="G1840">SUMPRODUCT(([1]OUT_FinalEnergyCons!$B$4:$B$10000="var_cap")*1,(ISNUMBER(SEARCH("RH*-WHELCBR",[1]OUT_FinalEnergyCons!$A$4:$A$10000)))*1,[1]OUT_FinalEnergyCons!E$4:E$10000)</f>
        <v>0.47179258901779242</v>
      </c>
      <c r="H1840" s="1" cm="1">
        <f t="array" ref="H1840">SUMPRODUCT(([1]OUT_FinalEnergyCons!$B$4:$B$10000="var_cap")*1,(ISNUMBER(SEARCH("RH*-WHELCBR",[1]OUT_FinalEnergyCons!$A$4:$A$10000)))*1,[1]OUT_FinalEnergyCons!F$4:F$10000)</f>
        <v>0.32948221795396809</v>
      </c>
      <c r="I1840" s="1" cm="1">
        <f t="array" ref="I1840">SUMPRODUCT(([1]OUT_FinalEnergyCons!$B$4:$B$10000="var_cap")*1,(ISNUMBER(SEARCH("RH*-WHELCBR",[1]OUT_FinalEnergyCons!$A$4:$A$10000)))*1,[1]OUT_FinalEnergyCons!G$4:G$10000)</f>
        <v>0.27037552395541636</v>
      </c>
      <c r="J1840" s="1" cm="1">
        <f t="array" ref="J1840">SUMPRODUCT(([1]OUT_FinalEnergyCons!$B$4:$B$10000="var_cap")*1,(ISNUMBER(SEARCH("RH*-WHELCBR",[1]OUT_FinalEnergyCons!$A$4:$A$10000)))*1,[1]OUT_FinalEnergyCons!H$4:H$10000)</f>
        <v>0.17930993100442691</v>
      </c>
      <c r="K1840" s="1" cm="1">
        <f t="array" ref="K1840">SUMPRODUCT(([1]OUT_FinalEnergyCons!$B$4:$B$10000="var_cap")*1,(ISNUMBER(SEARCH("RH*-WHELCBR",[1]OUT_FinalEnergyCons!$A$4:$A$10000)))*1,[1]OUT_FinalEnergyCons!I$4:I$10000)</f>
        <v>0.13572654267624046</v>
      </c>
    </row>
    <row r="1841" spans="2:11" x14ac:dyDescent="0.25">
      <c r="B1841" s="5" t="str">
        <f t="shared" si="1102"/>
        <v>SPS4</v>
      </c>
      <c r="C1841" s="5" t="str">
        <f t="shared" ref="B1841:C1841" si="1157">C1840</f>
        <v>CH</v>
      </c>
      <c r="D1841" t="s">
        <v>1883</v>
      </c>
      <c r="E1841" t="str">
        <f t="shared" si="1121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0.21335489261965926</v>
      </c>
      <c r="G1841" s="1" cm="1">
        <f t="array" ref="G1841">SUMPRODUCT(([1]OUT_FinalEnergyCons!$B$4:$B$10000="var_cap")*1,ISNUMBER(SEARCH("RH*-WHELCHP",[1]OUT_FinalEnergyCons!$A$4:$A$10000))*1,[1]OUT_FinalEnergyCons!E$4:E$10000)</f>
        <v>0.24711684387605981</v>
      </c>
      <c r="H1841" s="1" cm="1">
        <f t="array" ref="H1841">SUMPRODUCT(([1]OUT_FinalEnergyCons!$B$4:$B$10000="var_cap")*1,ISNUMBER(SEARCH("RH*-WHELCHP",[1]OUT_FinalEnergyCons!$A$4:$A$10000))*1,[1]OUT_FinalEnergyCons!F$4:F$10000)</f>
        <v>0.31098310775358656</v>
      </c>
      <c r="I1841" s="1" cm="1">
        <f t="array" ref="I1841">SUMPRODUCT(([1]OUT_FinalEnergyCons!$B$4:$B$10000="var_cap")*1,ISNUMBER(SEARCH("RH*-WHELCHP",[1]OUT_FinalEnergyCons!$A$4:$A$10000))*1,[1]OUT_FinalEnergyCons!G$4:G$10000)</f>
        <v>0.45511087641465375</v>
      </c>
      <c r="J1841" s="1" cm="1">
        <f t="array" ref="J1841">SUMPRODUCT(([1]OUT_FinalEnergyCons!$B$4:$B$10000="var_cap")*1,ISNUMBER(SEARCH("RH*-WHELCHP",[1]OUT_FinalEnergyCons!$A$4:$A$10000))*1,[1]OUT_FinalEnergyCons!H$4:H$10000)</f>
        <v>0.69894234195596072</v>
      </c>
      <c r="K1841" s="1" cm="1">
        <f t="array" ref="K1841">SUMPRODUCT(([1]OUT_FinalEnergyCons!$B$4:$B$10000="var_cap")*1,ISNUMBER(SEARCH("RH*-WHELCHP",[1]OUT_FinalEnergyCons!$A$4:$A$10000))*1,[1]OUT_FinalEnergyCons!I$4:I$10000)</f>
        <v>0.91723926438471615</v>
      </c>
    </row>
    <row r="1842" spans="2:11" x14ac:dyDescent="0.25">
      <c r="B1842" s="5" t="str">
        <f t="shared" si="1102"/>
        <v>SPS4</v>
      </c>
      <c r="C1842" s="5" t="str">
        <f t="shared" ref="B1842:C1842" si="1158">C1841</f>
        <v>CH</v>
      </c>
      <c r="D1842" t="s">
        <v>1884</v>
      </c>
      <c r="E1842" t="str">
        <f t="shared" si="1121"/>
        <v>GWth/yr.</v>
      </c>
      <c r="F1842" s="1">
        <f>F1843</f>
        <v>0.47738433216181703</v>
      </c>
      <c r="G1842" s="1">
        <f t="shared" ref="G1842" si="1159">G1843</f>
        <v>0.47738247718828952</v>
      </c>
      <c r="H1842" s="1">
        <f t="shared" ref="H1842" si="1160">H1843</f>
        <v>0.45196096743337061</v>
      </c>
      <c r="I1842" s="1">
        <f t="shared" ref="I1842" si="1161">I1843</f>
        <v>0.4519270604813162</v>
      </c>
      <c r="J1842" s="1">
        <f t="shared" ref="J1842" si="1162">J1843</f>
        <v>0.12312197412099683</v>
      </c>
      <c r="K1842" s="1">
        <f t="shared" ref="K1842" si="1163">K1843</f>
        <v>7.6183347294123363E-2</v>
      </c>
    </row>
    <row r="1843" spans="2:11" x14ac:dyDescent="0.25">
      <c r="B1843" s="5" t="str">
        <f t="shared" si="1102"/>
        <v>SPS4</v>
      </c>
      <c r="C1843" s="5" t="str">
        <f t="shared" ref="B1843:C1843" si="1164">C1842</f>
        <v>CH</v>
      </c>
      <c r="D1843" t="s">
        <v>1885</v>
      </c>
      <c r="E1843" t="str">
        <f t="shared" si="1121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0.47738247718828952</v>
      </c>
      <c r="H1843" s="1" cm="1">
        <f t="array" ref="H1843">SUMPRODUCT(([1]OUT_FinalEnergyCons!$B$4:$B$10000="var_cap")*1, (ISNUMBER(SEARCH("RH*-WHLFOBR",[1]OUT_FinalEnergyCons!$A$4:$A$10000)))*1,[1]OUT_FinalEnergyCons!F$4:F$10000)</f>
        <v>0.45196096743337061</v>
      </c>
      <c r="I1843" s="1" cm="1">
        <f t="array" ref="I1843">SUMPRODUCT(([1]OUT_FinalEnergyCons!$B$4:$B$10000="var_cap")*1, (ISNUMBER(SEARCH("RH*-WHLFOBR",[1]OUT_FinalEnergyCons!$A$4:$A$10000)))*1,[1]OUT_FinalEnergyCons!G$4:G$10000)</f>
        <v>0.4519270604813162</v>
      </c>
      <c r="J1843" s="1" cm="1">
        <f t="array" ref="J1843">SUMPRODUCT(([1]OUT_FinalEnergyCons!$B$4:$B$10000="var_cap")*1, (ISNUMBER(SEARCH("RH*-WHLFOBR",[1]OUT_FinalEnergyCons!$A$4:$A$10000)))*1,[1]OUT_FinalEnergyCons!H$4:H$10000)</f>
        <v>0.12312197412099683</v>
      </c>
      <c r="K1843" s="1" cm="1">
        <f t="array" ref="K1843">SUMPRODUCT(([1]OUT_FinalEnergyCons!$B$4:$B$10000="var_cap")*1, (ISNUMBER(SEARCH("RH*-WHLFOBR",[1]OUT_FinalEnergyCons!$A$4:$A$10000)))*1,[1]OUT_FinalEnergyCons!I$4:I$10000)</f>
        <v>7.6183347294123363E-2</v>
      </c>
    </row>
    <row r="1844" spans="2:11" x14ac:dyDescent="0.25">
      <c r="B1844" s="5" t="str">
        <f t="shared" ref="B1844:B1907" si="1165">B1843</f>
        <v>SPS4</v>
      </c>
      <c r="C1844" s="5" t="str">
        <f t="shared" ref="B1844:C1844" si="1166">C1843</f>
        <v>CH</v>
      </c>
      <c r="D1844" t="s">
        <v>1886</v>
      </c>
      <c r="E1844" t="str">
        <f t="shared" si="1121"/>
        <v>GWth/yr.</v>
      </c>
      <c r="F1844" s="1">
        <f>SUM(F1845:F1846)</f>
        <v>0.43610075806793741</v>
      </c>
      <c r="G1844" s="1">
        <f t="shared" ref="G1844" si="1167">SUM(G1845:G1846)</f>
        <v>0.4361000963065006</v>
      </c>
      <c r="H1844" s="1">
        <f t="shared" ref="H1844" si="1168">SUM(H1845:H1846)</f>
        <v>0.49629942541714767</v>
      </c>
      <c r="I1844" s="1">
        <f t="shared" ref="I1844" si="1169">SUM(I1845:I1846)</f>
        <v>0.58249344337140418</v>
      </c>
      <c r="J1844" s="1">
        <f t="shared" ref="J1844" si="1170">SUM(J1845:J1846)</f>
        <v>0.49734654232225872</v>
      </c>
      <c r="K1844" s="1">
        <f t="shared" ref="K1844" si="1171">SUM(K1845:K1846)</f>
        <v>0.54430437702910395</v>
      </c>
    </row>
    <row r="1845" spans="2:11" x14ac:dyDescent="0.25">
      <c r="B1845" s="5" t="str">
        <f t="shared" si="1165"/>
        <v>SPS4</v>
      </c>
      <c r="C1845" s="5" t="str">
        <f t="shared" ref="B1845:C1845" si="1172">C1844</f>
        <v>CH</v>
      </c>
      <c r="D1845" t="s">
        <v>1887</v>
      </c>
      <c r="E1845" t="str">
        <f t="shared" si="1121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0.43609994241031702</v>
      </c>
      <c r="H1845" s="1" cm="1">
        <f t="array" ref="H1845">SUMPRODUCT(([1]OUT_FinalEnergyCons!$B$4:$B$10000="var_cap")*1, (ISNUMBER(SEARCH("RH*-WHNGABR",[1]OUT_FinalEnergyCons!$A$4:$A$10000)))*1,[1]OUT_FinalEnergyCons!F$4:F$10000)</f>
        <v>0.43609799053904807</v>
      </c>
      <c r="I1845" s="1" cm="1">
        <f t="array" ref="I1845">SUMPRODUCT(([1]OUT_FinalEnergyCons!$B$4:$B$10000="var_cap")*1, (ISNUMBER(SEARCH("RH*-WHNGABR",[1]OUT_FinalEnergyCons!$A$4:$A$10000)))*1,[1]OUT_FinalEnergyCons!G$4:G$10000)</f>
        <v>0.43609675576628415</v>
      </c>
      <c r="J1845" s="1" cm="1">
        <f t="array" ref="J1845">SUMPRODUCT(([1]OUT_FinalEnergyCons!$B$4:$B$10000="var_cap")*1, (ISNUMBER(SEARCH("RH*-WHNGABR",[1]OUT_FinalEnergyCons!$A$4:$A$10000)))*1,[1]OUT_FinalEnergyCons!H$4:H$10000)</f>
        <v>0.21187011852507723</v>
      </c>
      <c r="K1845" s="1" cm="1">
        <f t="array" ref="K1845">SUMPRODUCT(([1]OUT_FinalEnergyCons!$B$4:$B$10000="var_cap")*1, (ISNUMBER(SEARCH("RH*-WHNGABR",[1]OUT_FinalEnergyCons!$A$4:$A$10000)))*1,[1]OUT_FinalEnergyCons!I$4:I$10000)</f>
        <v>0.13124265895710105</v>
      </c>
    </row>
    <row r="1846" spans="2:11" x14ac:dyDescent="0.25">
      <c r="B1846" s="5" t="str">
        <f t="shared" si="1165"/>
        <v>SPS4</v>
      </c>
      <c r="C1846" s="5" t="str">
        <f t="shared" ref="B1846:C1846" si="1173">C1845</f>
        <v>CH</v>
      </c>
      <c r="D1846" t="s">
        <v>1888</v>
      </c>
      <c r="E1846" t="str">
        <f t="shared" si="1121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1.5389618354720665E-7</v>
      </c>
      <c r="H1846" s="1" cm="1">
        <f t="array" ref="H1846">SUMPRODUCT(([1]OUT_FinalEnergyCons!$B$4:$B$10000="var_cap")*1,ISNUMBER(SEARCH("RH*-WHngahp",[1]OUT_FinalEnergyCons!$A$4:$A$10000))*1,[1]OUT_FinalEnergyCons!F$4:F$10000)</f>
        <v>6.0201434878099591E-2</v>
      </c>
      <c r="I1846" s="1" cm="1">
        <f t="array" ref="I1846">SUMPRODUCT(([1]OUT_FinalEnergyCons!$B$4:$B$10000="var_cap")*1,ISNUMBER(SEARCH("RH*-WHngahp",[1]OUT_FinalEnergyCons!$A$4:$A$10000))*1,[1]OUT_FinalEnergyCons!G$4:G$10000)</f>
        <v>0.14639668760512003</v>
      </c>
      <c r="J1846" s="1" cm="1">
        <f t="array" ref="J1846">SUMPRODUCT(([1]OUT_FinalEnergyCons!$B$4:$B$10000="var_cap")*1,ISNUMBER(SEARCH("RH*-WHngahp",[1]OUT_FinalEnergyCons!$A$4:$A$10000))*1,[1]OUT_FinalEnergyCons!H$4:H$10000)</f>
        <v>0.28547642379718147</v>
      </c>
      <c r="K1846" s="1" cm="1">
        <f t="array" ref="K1846">SUMPRODUCT(([1]OUT_FinalEnergyCons!$B$4:$B$10000="var_cap")*1,ISNUMBER(SEARCH("RH*-WHngahp",[1]OUT_FinalEnergyCons!$A$4:$A$10000))*1,[1]OUT_FinalEnergyCons!I$4:I$10000)</f>
        <v>0.41306171807200293</v>
      </c>
    </row>
    <row r="1847" spans="2:11" x14ac:dyDescent="0.25">
      <c r="B1847" s="5" t="str">
        <f t="shared" si="1165"/>
        <v>SPS4</v>
      </c>
      <c r="C1847" s="5" t="str">
        <f t="shared" ref="B1847:C1847" si="1174">C1846</f>
        <v>CH</v>
      </c>
      <c r="D1847" t="s">
        <v>1889</v>
      </c>
      <c r="E1847" t="str">
        <f t="shared" si="1121"/>
        <v>GWth/yr.</v>
      </c>
      <c r="F1847" s="1">
        <f>F1848</f>
        <v>0</v>
      </c>
      <c r="G1847" s="1">
        <f t="shared" ref="G1847" si="1175">G1848</f>
        <v>0</v>
      </c>
      <c r="H1847" s="1">
        <f t="shared" ref="H1847" si="1176">H1848</f>
        <v>0</v>
      </c>
      <c r="I1847" s="1">
        <f t="shared" ref="I1847" si="1177">I1848</f>
        <v>0</v>
      </c>
      <c r="J1847" s="1">
        <f t="shared" ref="J1847" si="1178">J1848</f>
        <v>0</v>
      </c>
      <c r="K1847" s="1">
        <f t="shared" ref="K1847" si="1179">K1848</f>
        <v>0</v>
      </c>
    </row>
    <row r="1848" spans="2:11" x14ac:dyDescent="0.25">
      <c r="B1848" s="5" t="str">
        <f t="shared" si="1165"/>
        <v>SPS4</v>
      </c>
      <c r="C1848" s="5" t="str">
        <f t="shared" ref="B1848:C1848" si="1180">C1847</f>
        <v>CH</v>
      </c>
      <c r="D1848" t="s">
        <v>1890</v>
      </c>
      <c r="E1848" t="str">
        <f t="shared" si="1121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si="1165"/>
        <v>SPS4</v>
      </c>
      <c r="C1849" s="5" t="str">
        <f t="shared" ref="B1849:C1849" si="1181">C1848</f>
        <v>CH</v>
      </c>
      <c r="D1849" t="s">
        <v>1891</v>
      </c>
      <c r="E1849" t="str">
        <f t="shared" si="1121"/>
        <v>GWth/yr.</v>
      </c>
      <c r="F1849" s="1">
        <f>F1850</f>
        <v>3.5322010722483803E-2</v>
      </c>
      <c r="G1849" s="1">
        <f t="shared" ref="G1849" si="1182">G1850</f>
        <v>4.067892542599226E-2</v>
      </c>
      <c r="H1849" s="1">
        <f t="shared" ref="H1849" si="1183">H1850</f>
        <v>7.8582793193776937E-2</v>
      </c>
      <c r="I1849" s="1">
        <f t="shared" ref="I1849" si="1184">I1850</f>
        <v>9.0687648761853062E-2</v>
      </c>
      <c r="J1849" s="1">
        <f t="shared" ref="J1849" si="1185">J1850</f>
        <v>0.10588314321685044</v>
      </c>
      <c r="K1849" s="1">
        <f t="shared" ref="K1849" si="1186">K1850</f>
        <v>0.12136251745295788</v>
      </c>
    </row>
    <row r="1850" spans="2:11" x14ac:dyDescent="0.25">
      <c r="B1850" s="5" t="str">
        <f t="shared" si="1165"/>
        <v>SPS4</v>
      </c>
      <c r="C1850" s="5" t="str">
        <f t="shared" ref="B1850:C1850" si="1187">C1849</f>
        <v>CH</v>
      </c>
      <c r="D1850" t="s">
        <v>1892</v>
      </c>
      <c r="E1850" t="str">
        <f t="shared" si="1121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4.067892542599226E-2</v>
      </c>
      <c r="H1850" s="1" cm="1">
        <f t="array" ref="H1850">SUMPRODUCT(([1]OUT_FinalEnergyCons!$B$4:$B$10000="var_cap")*1, (ISNUMBER(SEARCH("RH*-WHWODBR",[1]OUT_FinalEnergyCons!$A$4:$A$10000)))*1,[1]OUT_FinalEnergyCons!F$4:F$10000)</f>
        <v>7.8582793193776937E-2</v>
      </c>
      <c r="I1850" s="1" cm="1">
        <f t="array" ref="I1850">SUMPRODUCT(([1]OUT_FinalEnergyCons!$B$4:$B$10000="var_cap")*1, (ISNUMBER(SEARCH("RH*-WHWODBR",[1]OUT_FinalEnergyCons!$A$4:$A$10000)))*1,[1]OUT_FinalEnergyCons!G$4:G$10000)</f>
        <v>9.0687648761853062E-2</v>
      </c>
      <c r="J1850" s="1" cm="1">
        <f t="array" ref="J1850">SUMPRODUCT(([1]OUT_FinalEnergyCons!$B$4:$B$10000="var_cap")*1, (ISNUMBER(SEARCH("RH*-WHWODBR",[1]OUT_FinalEnergyCons!$A$4:$A$10000)))*1,[1]OUT_FinalEnergyCons!H$4:H$10000)</f>
        <v>0.10588314321685044</v>
      </c>
      <c r="K1850" s="1" cm="1">
        <f t="array" ref="K1850">SUMPRODUCT(([1]OUT_FinalEnergyCons!$B$4:$B$10000="var_cap")*1, (ISNUMBER(SEARCH("RH*-WHWODBR",[1]OUT_FinalEnergyCons!$A$4:$A$10000)))*1,[1]OUT_FinalEnergyCons!I$4:I$10000)</f>
        <v>0.12136251745295788</v>
      </c>
    </row>
    <row r="1851" spans="2:11" x14ac:dyDescent="0.25">
      <c r="B1851" s="5" t="str">
        <f t="shared" si="1165"/>
        <v>SPS4</v>
      </c>
      <c r="C1851" s="5" t="str">
        <f t="shared" ref="B1851:C1851" si="1188">C1850</f>
        <v>CH</v>
      </c>
      <c r="D1851" t="s">
        <v>1893</v>
      </c>
      <c r="E1851" t="str">
        <f t="shared" si="1121"/>
        <v>GWth/yr.</v>
      </c>
      <c r="F1851" s="1">
        <f>F1852</f>
        <v>1.12410901121583E-2</v>
      </c>
      <c r="G1851" s="1">
        <f t="shared" ref="G1851" si="1189">G1852</f>
        <v>1.3192103254050848E-2</v>
      </c>
      <c r="H1851" s="1">
        <f t="shared" ref="H1851" si="1190">H1852</f>
        <v>1.2370977544683928E-2</v>
      </c>
      <c r="I1851" s="1">
        <f t="shared" ref="I1851" si="1191">I1852</f>
        <v>1.2370936803064234E-2</v>
      </c>
      <c r="J1851" s="1">
        <f t="shared" ref="J1851" si="1192">J1852</f>
        <v>2.0076106654136568E-2</v>
      </c>
      <c r="K1851" s="1">
        <f t="shared" ref="K1851" si="1193">K1852</f>
        <v>2.8757215942073647E-2</v>
      </c>
    </row>
    <row r="1852" spans="2:11" x14ac:dyDescent="0.25">
      <c r="B1852" s="5" t="str">
        <f t="shared" si="1165"/>
        <v>SPS4</v>
      </c>
      <c r="C1852" s="5" t="str">
        <f t="shared" ref="B1852:C1852" si="1194">C1851</f>
        <v>CH</v>
      </c>
      <c r="D1852" t="s">
        <v>1894</v>
      </c>
      <c r="E1852" t="str">
        <f t="shared" si="1121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1.3192103254050848E-2</v>
      </c>
      <c r="H1852" s="1" cm="1">
        <f t="array" ref="H1852">SUMPRODUCT(([1]OUT_FinalEnergyCons!$B$4:$B$10000="var_cap")*1, (ISNUMBER(SEARCH("RH*-WHPLTBR",[1]OUT_FinalEnergyCons!$A$4:$A$10000)))*1,[1]OUT_FinalEnergyCons!F$4:F$10000)</f>
        <v>1.2370977544683928E-2</v>
      </c>
      <c r="I1852" s="1" cm="1">
        <f t="array" ref="I1852">SUMPRODUCT(([1]OUT_FinalEnergyCons!$B$4:$B$10000="var_cap")*1, (ISNUMBER(SEARCH("RH*-WHPLTBR",[1]OUT_FinalEnergyCons!$A$4:$A$10000)))*1,[1]OUT_FinalEnergyCons!G$4:G$10000)</f>
        <v>1.2370936803064234E-2</v>
      </c>
      <c r="J1852" s="1" cm="1">
        <f t="array" ref="J1852">SUMPRODUCT(([1]OUT_FinalEnergyCons!$B$4:$B$10000="var_cap")*1, (ISNUMBER(SEARCH("RH*-WHPLTBR",[1]OUT_FinalEnergyCons!$A$4:$A$10000)))*1,[1]OUT_FinalEnergyCons!H$4:H$10000)</f>
        <v>2.0076106654136568E-2</v>
      </c>
      <c r="K1852" s="1" cm="1">
        <f t="array" ref="K1852">SUMPRODUCT(([1]OUT_FinalEnergyCons!$B$4:$B$10000="var_cap")*1, (ISNUMBER(SEARCH("RH*-WHPLTBR",[1]OUT_FinalEnergyCons!$A$4:$A$10000)))*1,[1]OUT_FinalEnergyCons!I$4:I$10000)</f>
        <v>2.8757215942073647E-2</v>
      </c>
    </row>
    <row r="1853" spans="2:11" x14ac:dyDescent="0.25">
      <c r="B1853" s="5" t="str">
        <f t="shared" si="1165"/>
        <v>SPS4</v>
      </c>
      <c r="C1853" s="5" t="str">
        <f t="shared" ref="B1853:C1853" si="1195">C1852</f>
        <v>CH</v>
      </c>
      <c r="D1853" t="s">
        <v>1895</v>
      </c>
      <c r="E1853" t="str">
        <f t="shared" si="1121"/>
        <v>GWth/yr.</v>
      </c>
      <c r="F1853" s="1">
        <f>F1854</f>
        <v>0.25000991745774798</v>
      </c>
      <c r="G1853" s="1">
        <f t="shared" ref="G1853" si="1196">G1854</f>
        <v>0.33417278069531836</v>
      </c>
      <c r="H1853" s="1">
        <f t="shared" ref="H1853" si="1197">H1854</f>
        <v>0.33417249171952751</v>
      </c>
      <c r="I1853" s="1">
        <f t="shared" ref="I1853" si="1198">I1854</f>
        <v>0.33417268603707562</v>
      </c>
      <c r="J1853" s="1">
        <f t="shared" ref="J1853" si="1199">J1854</f>
        <v>0.29474339912597475</v>
      </c>
      <c r="K1853" s="1">
        <f t="shared" ref="K1853" si="1200">K1854</f>
        <v>0.34578250001762623</v>
      </c>
    </row>
    <row r="1854" spans="2:11" x14ac:dyDescent="0.25">
      <c r="B1854" s="5" t="str">
        <f t="shared" si="1165"/>
        <v>SPS4</v>
      </c>
      <c r="C1854" s="5" t="str">
        <f t="shared" ref="B1854:C1854" si="1201">C1853</f>
        <v>CH</v>
      </c>
      <c r="D1854" t="s">
        <v>1896</v>
      </c>
      <c r="E1854" t="str">
        <f t="shared" si="1121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0.33417278069531836</v>
      </c>
      <c r="H1854" s="1" cm="1">
        <f t="array" ref="H1854">SUMPRODUCT(([1]OUT_FinalEnergyCons!$B$4:$B$10000="var_cap")*1, (ISNUMBER(SEARCH("RH*-WHSOLBR",[1]OUT_FinalEnergyCons!$A$4:$A$10000)))*1,[1]OUT_FinalEnergyCons!F$4:F$10000)</f>
        <v>0.33417249171952751</v>
      </c>
      <c r="I1854" s="1" cm="1">
        <f t="array" ref="I1854">SUMPRODUCT(([1]OUT_FinalEnergyCons!$B$4:$B$10000="var_cap")*1, (ISNUMBER(SEARCH("RH*-WHSOLBR",[1]OUT_FinalEnergyCons!$A$4:$A$10000)))*1,[1]OUT_FinalEnergyCons!G$4:G$10000)</f>
        <v>0.33417268603707562</v>
      </c>
      <c r="J1854" s="1" cm="1">
        <f t="array" ref="J1854">SUMPRODUCT(([1]OUT_FinalEnergyCons!$B$4:$B$10000="var_cap")*1, (ISNUMBER(SEARCH("RH*-WHSOLBR",[1]OUT_FinalEnergyCons!$A$4:$A$10000)))*1,[1]OUT_FinalEnergyCons!H$4:H$10000)</f>
        <v>0.29474339912597475</v>
      </c>
      <c r="K1854" s="1" cm="1">
        <f t="array" ref="K1854">SUMPRODUCT(([1]OUT_FinalEnergyCons!$B$4:$B$10000="var_cap")*1, (ISNUMBER(SEARCH("RH*-WHSOLBR",[1]OUT_FinalEnergyCons!$A$4:$A$10000)))*1,[1]OUT_FinalEnergyCons!I$4:I$10000)</f>
        <v>0.34578250001762623</v>
      </c>
    </row>
    <row r="1855" spans="2:11" x14ac:dyDescent="0.25">
      <c r="B1855" s="5" t="str">
        <f t="shared" si="1165"/>
        <v>SPS4</v>
      </c>
      <c r="C1855" s="5" t="str">
        <f t="shared" ref="B1855:C1855" si="1202">C1854</f>
        <v>CH</v>
      </c>
      <c r="D1855" t="s">
        <v>1897</v>
      </c>
      <c r="E1855" t="str">
        <f t="shared" si="1121"/>
        <v>GWth/yr.</v>
      </c>
      <c r="F1855" s="1">
        <f>F1856</f>
        <v>0</v>
      </c>
      <c r="G1855" s="1">
        <f t="shared" ref="G1855" si="1203">G1856</f>
        <v>0</v>
      </c>
      <c r="H1855" s="1">
        <f t="shared" ref="H1855" si="1204">H1856</f>
        <v>0</v>
      </c>
      <c r="I1855" s="1">
        <f t="shared" ref="I1855" si="1205">I1856</f>
        <v>0</v>
      </c>
      <c r="J1855" s="1">
        <f t="shared" ref="J1855" si="1206">J1856</f>
        <v>0</v>
      </c>
      <c r="K1855" s="1">
        <f t="shared" ref="K1855" si="1207">K1856</f>
        <v>0</v>
      </c>
    </row>
    <row r="1856" spans="2:11" x14ac:dyDescent="0.25">
      <c r="B1856" s="5" t="str">
        <f t="shared" si="1165"/>
        <v>SPS4</v>
      </c>
      <c r="C1856" s="5" t="str">
        <f t="shared" ref="B1856:C1860" si="1208">C1855</f>
        <v>CH</v>
      </c>
      <c r="D1856" t="s">
        <v>1898</v>
      </c>
      <c r="E1856" t="str">
        <f t="shared" si="1121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165"/>
        <v>SPS4</v>
      </c>
      <c r="C1857" s="9" t="str">
        <f t="shared" si="1208"/>
        <v>CH</v>
      </c>
      <c r="D1857" s="2" t="s">
        <v>1900</v>
      </c>
      <c r="E1857" s="9" t="str">
        <f t="shared" si="1121"/>
        <v>GWth/yr.</v>
      </c>
      <c r="F1857" s="17">
        <f>SUM(F1858,F1861,F1864,F1868,F1870,F1872,F1874,F1876,F1878)</f>
        <v>3.6001886718642124</v>
      </c>
      <c r="G1857" s="17">
        <f t="shared" ref="G1857:K1857" si="1209">SUM(G1858,G1861,G1864,G1868,G1870,G1872,G1874,G1876,G1878)</f>
        <v>3.666280966378157</v>
      </c>
      <c r="H1857" s="17">
        <f t="shared" si="1209"/>
        <v>3.7954448362160456</v>
      </c>
      <c r="I1857" s="17">
        <f t="shared" si="1209"/>
        <v>3.6476048758813886</v>
      </c>
      <c r="J1857" s="17">
        <f t="shared" si="1209"/>
        <v>3.3856776192269584</v>
      </c>
      <c r="K1857" s="17">
        <f t="shared" si="1209"/>
        <v>3.0066905649351785</v>
      </c>
    </row>
    <row r="1858" spans="2:11" x14ac:dyDescent="0.25">
      <c r="B1858" s="5" t="str">
        <f t="shared" si="1165"/>
        <v>SPS4</v>
      </c>
      <c r="C1858" s="5" t="str">
        <f t="shared" si="1208"/>
        <v>CH</v>
      </c>
      <c r="D1858" t="s">
        <v>2094</v>
      </c>
      <c r="E1858" t="str">
        <f t="shared" si="1121"/>
        <v>GWth/yr.</v>
      </c>
      <c r="F1858" s="18">
        <f>SUM(F1859:F1860)</f>
        <v>0.61671309762324311</v>
      </c>
      <c r="G1858" s="18">
        <f t="shared" ref="G1858:K1858" si="1210">SUM(G1859:G1860)</f>
        <v>0.81611602994067389</v>
      </c>
      <c r="H1858" s="18">
        <f t="shared" si="1210"/>
        <v>0.948707904787782</v>
      </c>
      <c r="I1858" s="18">
        <f t="shared" si="1210"/>
        <v>0.96330077650457913</v>
      </c>
      <c r="J1858" s="18">
        <f t="shared" si="1210"/>
        <v>1.2860653846352565</v>
      </c>
      <c r="K1858" s="18">
        <f t="shared" si="1210"/>
        <v>1.1804923998467887</v>
      </c>
    </row>
    <row r="1859" spans="2:11" x14ac:dyDescent="0.25">
      <c r="B1859" s="5" t="str">
        <f t="shared" si="1165"/>
        <v>SPS4</v>
      </c>
      <c r="C1859" s="5" t="str">
        <f t="shared" si="1208"/>
        <v>CH</v>
      </c>
      <c r="D1859" t="s">
        <v>2095</v>
      </c>
      <c r="E1859" t="str">
        <f t="shared" si="1121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0.73988114201265354</v>
      </c>
      <c r="H1859" s="1" cm="1">
        <f t="array" ref="H1859">SUMPRODUCT(([1]OUT_FinalEnergyCons!$B$4:$B$10000="Var_cap")*1,  (ISNUMBER(SEARCH("ITOT-SWHELCBR",[1]OUT_FinalEnergyCons!$A$4:$A$10000)))*1,[1]OUT_FinalEnergyCons!F$4:F$10000)</f>
        <v>0.83087451203089224</v>
      </c>
      <c r="I1859" s="1" cm="1">
        <f t="array" ref="I1859">SUMPRODUCT(([1]OUT_FinalEnergyCons!$B$4:$B$10000="Var_cap")*1,  (ISNUMBER(SEARCH("ITOT-SWHELCBR",[1]OUT_FinalEnergyCons!$A$4:$A$10000)))*1,[1]OUT_FinalEnergyCons!G$4:G$10000)</f>
        <v>0.83312964455722882</v>
      </c>
      <c r="J1859" s="1" cm="1">
        <f t="array" ref="J1859">SUMPRODUCT(([1]OUT_FinalEnergyCons!$B$4:$B$10000="Var_cap")*1,  (ISNUMBER(SEARCH("ITOT-SWHELCBR",[1]OUT_FinalEnergyCons!$A$4:$A$10000)))*1,[1]OUT_FinalEnergyCons!H$4:H$10000)</f>
        <v>1.0805312744380167</v>
      </c>
      <c r="K1859" s="1" cm="1">
        <f t="array" ref="K1859">SUMPRODUCT(([1]OUT_FinalEnergyCons!$B$4:$B$10000="Var_cap")*1,  (ISNUMBER(SEARCH("ITOT-SWHELCBR",[1]OUT_FinalEnergyCons!$A$4:$A$10000)))*1,[1]OUT_FinalEnergyCons!I$4:I$10000)</f>
        <v>0.96928520738960677</v>
      </c>
    </row>
    <row r="1860" spans="2:11" x14ac:dyDescent="0.25">
      <c r="B1860" s="5" t="str">
        <f t="shared" si="1165"/>
        <v>SPS4</v>
      </c>
      <c r="C1860" s="5" t="str">
        <f t="shared" si="1208"/>
        <v>CH</v>
      </c>
      <c r="D1860" t="s">
        <v>2096</v>
      </c>
      <c r="E1860" t="str">
        <f t="shared" si="1121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7.6234887928020315E-2</v>
      </c>
      <c r="H1860" s="1" cm="1">
        <f t="array" ref="H1860">SUMPRODUCT(([1]OUT_FinalEnergyCons!$B$4:$B$10000="Var_cap")*1,  (ISNUMBER(SEARCH("ITOT-SWHELCHP",[1]OUT_FinalEnergyCons!$A$4:$A$10000)))*1,[1]OUT_FinalEnergyCons!F$4:F$10000)</f>
        <v>0.1178333927568898</v>
      </c>
      <c r="I1860" s="1" cm="1">
        <f t="array" ref="I1860">SUMPRODUCT(([1]OUT_FinalEnergyCons!$B$4:$B$10000="Var_cap")*1,  (ISNUMBER(SEARCH("ITOT-SWHELCHP",[1]OUT_FinalEnergyCons!$A$4:$A$10000)))*1,[1]OUT_FinalEnergyCons!G$4:G$10000)</f>
        <v>0.13017113194735025</v>
      </c>
      <c r="J1860" s="1" cm="1">
        <f t="array" ref="J1860">SUMPRODUCT(([1]OUT_FinalEnergyCons!$B$4:$B$10000="Var_cap")*1,  (ISNUMBER(SEARCH("ITOT-SWHELCHP",[1]OUT_FinalEnergyCons!$A$4:$A$10000)))*1,[1]OUT_FinalEnergyCons!H$4:H$10000)</f>
        <v>0.20553411019723988</v>
      </c>
      <c r="K1860" s="1" cm="1">
        <f t="array" ref="K1860">SUMPRODUCT(([1]OUT_FinalEnergyCons!$B$4:$B$10000="Var_cap")*1,  (ISNUMBER(SEARCH("ITOT-SWHELCHP",[1]OUT_FinalEnergyCons!$A$4:$A$10000)))*1,[1]OUT_FinalEnergyCons!I$4:I$10000)</f>
        <v>0.211207192457182</v>
      </c>
    </row>
    <row r="1861" spans="2:11" x14ac:dyDescent="0.25">
      <c r="B1861" s="5" t="str">
        <f t="shared" si="1165"/>
        <v>SPS4</v>
      </c>
      <c r="C1861" s="5" t="str">
        <f>C1860</f>
        <v>CH</v>
      </c>
      <c r="D1861" t="s">
        <v>2097</v>
      </c>
      <c r="E1861" t="str">
        <f t="shared" si="1121"/>
        <v>GWth/yr.</v>
      </c>
      <c r="F1861" s="18">
        <f>SUM(F1862:F1863)</f>
        <v>0.47710936591484288</v>
      </c>
      <c r="G1861" s="18">
        <f t="shared" ref="G1861:K1861" si="1211">SUM(G1862:G1863)</f>
        <v>0.37637467514376621</v>
      </c>
      <c r="H1861" s="18">
        <f t="shared" si="1211"/>
        <v>0.37639528397754968</v>
      </c>
      <c r="I1861" s="18">
        <f t="shared" si="1211"/>
        <v>0.37636011627375321</v>
      </c>
      <c r="J1861" s="18">
        <f t="shared" si="1211"/>
        <v>0.18792810835659715</v>
      </c>
      <c r="K1861" s="18">
        <f t="shared" si="1211"/>
        <v>2.0910398747874166E-2</v>
      </c>
    </row>
    <row r="1862" spans="2:11" x14ac:dyDescent="0.25">
      <c r="B1862" s="5" t="str">
        <f t="shared" si="1165"/>
        <v>SPS4</v>
      </c>
      <c r="C1862" s="5" t="str">
        <f t="shared" ref="C1862:C1879" si="1212">C1861</f>
        <v>CH</v>
      </c>
      <c r="D1862" t="s">
        <v>2098</v>
      </c>
      <c r="E1862" t="str">
        <f t="shared" si="1121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0.37636016779753095</v>
      </c>
      <c r="H1862" s="1" cm="1">
        <f t="array" ref="H1862">SUMPRODUCT(([1]OUT_FinalEnergyCons!$B$4:$B$10000="Var_cap")*1,  (ISNUMBER(SEARCH("ITOT-SWHLFOBR",[1]OUT_FinalEnergyCons!$A$4:$A$10000)))*1,[1]OUT_FinalEnergyCons!F$4:F$10000)</f>
        <v>0.37635288710631809</v>
      </c>
      <c r="I1862" s="1" cm="1">
        <f t="array" ref="I1862">SUMPRODUCT(([1]OUT_FinalEnergyCons!$B$4:$B$10000="Var_cap")*1,  (ISNUMBER(SEARCH("ITOT-SWHLFOBR",[1]OUT_FinalEnergyCons!$A$4:$A$10000)))*1,[1]OUT_FinalEnergyCons!G$4:G$10000)</f>
        <v>0.37633134862276124</v>
      </c>
      <c r="J1862" s="1" cm="1">
        <f t="array" ref="J1862">SUMPRODUCT(([1]OUT_FinalEnergyCons!$B$4:$B$10000="Var_cap")*1,  (ISNUMBER(SEARCH("ITOT-SWHLFOBR",[1]OUT_FinalEnergyCons!$A$4:$A$10000)))*1,[1]OUT_FinalEnergyCons!H$4:H$10000)</f>
        <v>0.18790440932635794</v>
      </c>
      <c r="K1862" s="1" cm="1">
        <f t="array" ref="K1862">SUMPRODUCT(([1]OUT_FinalEnergyCons!$B$4:$B$10000="Var_cap")*1,  (ISNUMBER(SEARCH("ITOT-SWHLFOBR",[1]OUT_FinalEnergyCons!$A$4:$A$10000)))*1,[1]OUT_FinalEnergyCons!I$4:I$10000)</f>
        <v>2.0911279623005694E-2</v>
      </c>
    </row>
    <row r="1863" spans="2:11" x14ac:dyDescent="0.25">
      <c r="B1863" s="5" t="str">
        <f t="shared" si="1165"/>
        <v>SPS4</v>
      </c>
      <c r="C1863" s="5" t="str">
        <f t="shared" si="1212"/>
        <v>CH</v>
      </c>
      <c r="D1863" t="s">
        <v>2099</v>
      </c>
      <c r="E1863" t="str">
        <f t="shared" si="1121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0.10077392628401091</v>
      </c>
      <c r="G1863" s="1" cm="1">
        <f t="array" ref="G1863">SUMPRODUCT(([1]OUT_FinalEnergyCons!$B$4:$B$10000="Var_cap")*1,  (ISNUMBER(SEARCH("ITOT-SWHHFOBR",[1]OUT_FinalEnergyCons!$A$4:$A$10000)))*1,[1]OUT_FinalEnergyCons!E$4:E$10000)</f>
        <v>1.4507346235259622E-5</v>
      </c>
      <c r="H1863" s="1" cm="1">
        <f t="array" ref="H1863">SUMPRODUCT(([1]OUT_FinalEnergyCons!$B$4:$B$10000="Var_cap")*1,  (ISNUMBER(SEARCH("ITOT-SWHHFOBR",[1]OUT_FinalEnergyCons!$A$4:$A$10000)))*1,[1]OUT_FinalEnergyCons!F$4:F$10000)</f>
        <v>4.2396871231586974E-5</v>
      </c>
      <c r="I1863" s="1" cm="1">
        <f t="array" ref="I1863">SUMPRODUCT(([1]OUT_FinalEnergyCons!$B$4:$B$10000="Var_cap")*1,  (ISNUMBER(SEARCH("ITOT-SWHHFOBR",[1]OUT_FinalEnergyCons!$A$4:$A$10000)))*1,[1]OUT_FinalEnergyCons!G$4:G$10000)</f>
        <v>2.8767650991939897E-5</v>
      </c>
      <c r="J1863" s="1" cm="1">
        <f t="array" ref="J1863">SUMPRODUCT(([1]OUT_FinalEnergyCons!$B$4:$B$10000="Var_cap")*1,  (ISNUMBER(SEARCH("ITOT-SWHHFOBR",[1]OUT_FinalEnergyCons!$A$4:$A$10000)))*1,[1]OUT_FinalEnergyCons!H$4:H$10000)</f>
        <v>2.369903023920596E-5</v>
      </c>
      <c r="K1863" s="1" cm="1">
        <f t="array" ref="K1863">SUMPRODUCT(([1]OUT_FinalEnergyCons!$B$4:$B$10000="Var_cap")*1,  (ISNUMBER(SEARCH("ITOT-SWHHFOBR",[1]OUT_FinalEnergyCons!$A$4:$A$10000)))*1,[1]OUT_FinalEnergyCons!I$4:I$10000)</f>
        <v>-8.8087513152710014E-7</v>
      </c>
    </row>
    <row r="1864" spans="2:11" x14ac:dyDescent="0.25">
      <c r="B1864" s="5" t="str">
        <f t="shared" si="1165"/>
        <v>SPS4</v>
      </c>
      <c r="C1864" s="5" t="str">
        <f t="shared" si="1212"/>
        <v>CH</v>
      </c>
      <c r="D1864" t="s">
        <v>2100</v>
      </c>
      <c r="E1864" t="str">
        <f t="shared" si="1121"/>
        <v>GWth/yr.</v>
      </c>
      <c r="F1864" s="18">
        <f>SUM(F1865:F1866)</f>
        <v>1.556581895256</v>
      </c>
      <c r="G1864" s="18">
        <f t="shared" ref="G1864:K1864" si="1213">SUM(G1865:G1866)</f>
        <v>1.5567533143637426</v>
      </c>
      <c r="H1864" s="18">
        <f t="shared" si="1213"/>
        <v>1.5569196744204432</v>
      </c>
      <c r="I1864" s="18">
        <f t="shared" si="1213"/>
        <v>1.5568940116183272</v>
      </c>
      <c r="J1864" s="18">
        <f t="shared" si="1213"/>
        <v>0.8841034329241102</v>
      </c>
      <c r="K1864" s="18">
        <f t="shared" si="1213"/>
        <v>0.42794091860301331</v>
      </c>
    </row>
    <row r="1865" spans="2:11" x14ac:dyDescent="0.25">
      <c r="B1865" s="5" t="str">
        <f t="shared" si="1165"/>
        <v>SPS4</v>
      </c>
      <c r="C1865" s="5" t="str">
        <f t="shared" si="1212"/>
        <v>CH</v>
      </c>
      <c r="D1865" t="s">
        <v>2101</v>
      </c>
      <c r="E1865" t="str">
        <f t="shared" si="1121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1.5565775219542299</v>
      </c>
      <c r="H1865" s="1" cm="1">
        <f t="array" ref="H1865">SUMPRODUCT(([1]OUT_FinalEnergyCons!$B$4:$B$10000="Var_cap")*1,  (ISNUMBER(SEARCH("ITOT-SWHNGA*BR",[1]OUT_FinalEnergyCons!$A$4:$A$10000)))*1,[1]OUT_FinalEnergyCons!F$4:F$10000)</f>
        <v>1.5565657756163995</v>
      </c>
      <c r="I1865" s="1" cm="1">
        <f t="array" ref="I1865">SUMPRODUCT(([1]OUT_FinalEnergyCons!$B$4:$B$10000="Var_cap")*1,  (ISNUMBER(SEARCH("ITOT-SWHNGA*BR",[1]OUT_FinalEnergyCons!$A$4:$A$10000)))*1,[1]OUT_FinalEnergyCons!G$4:G$10000)</f>
        <v>1.5565328779072605</v>
      </c>
      <c r="J1865" s="1" cm="1">
        <f t="array" ref="J1865">SUMPRODUCT(([1]OUT_FinalEnergyCons!$B$4:$B$10000="Var_cap")*1,  (ISNUMBER(SEARCH("ITOT-SWHNGA*BR",[1]OUT_FinalEnergyCons!$A$4:$A$10000)))*1,[1]OUT_FinalEnergyCons!H$4:H$10000)</f>
        <v>0.87745230983528022</v>
      </c>
      <c r="K1865" s="1" cm="1">
        <f t="array" ref="K1865">SUMPRODUCT(([1]OUT_FinalEnergyCons!$B$4:$B$10000="Var_cap")*1,  (ISNUMBER(SEARCH("ITOT-SWHNGA*BR",[1]OUT_FinalEnergyCons!$A$4:$A$10000)))*1,[1]OUT_FinalEnergyCons!I$4:I$10000)</f>
        <v>0.42217278822082283</v>
      </c>
    </row>
    <row r="1866" spans="2:11" x14ac:dyDescent="0.25">
      <c r="B1866" s="5" t="str">
        <f t="shared" si="1165"/>
        <v>SPS4</v>
      </c>
      <c r="C1866" s="5" t="str">
        <f t="shared" si="1212"/>
        <v>CH</v>
      </c>
      <c r="D1866" t="s">
        <v>2102</v>
      </c>
      <c r="E1866" t="str">
        <f t="shared" si="1121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1.7579240951259999E-4</v>
      </c>
      <c r="H1866" s="1" cm="1">
        <f t="array" ref="H1866">SUMPRODUCT(([1]OUT_FinalEnergyCons!$B$4:$B$10000="Var_cap")*1,  (ISNUMBER(SEARCH("ITOT-SWHNGAHP",[1]OUT_FinalEnergyCons!$A$4:$A$10000)))*1,[1]OUT_FinalEnergyCons!F$4:F$10000)</f>
        <v>3.5389880404362915E-4</v>
      </c>
      <c r="I1866" s="1" cm="1">
        <f t="array" ref="I1866">SUMPRODUCT(([1]OUT_FinalEnergyCons!$B$4:$B$10000="Var_cap")*1,  (ISNUMBER(SEARCH("ITOT-SWHNGAHP",[1]OUT_FinalEnergyCons!$A$4:$A$10000)))*1,[1]OUT_FinalEnergyCons!G$4:G$10000)</f>
        <v>3.6113371106667567E-4</v>
      </c>
      <c r="J1866" s="1" cm="1">
        <f t="array" ref="J1866">SUMPRODUCT(([1]OUT_FinalEnergyCons!$B$4:$B$10000="Var_cap")*1,  (ISNUMBER(SEARCH("ITOT-SWHNGAHP",[1]OUT_FinalEnergyCons!$A$4:$A$10000)))*1,[1]OUT_FinalEnergyCons!H$4:H$10000)</f>
        <v>6.6511230888299713E-3</v>
      </c>
      <c r="K1866" s="1" cm="1">
        <f t="array" ref="K1866">SUMPRODUCT(([1]OUT_FinalEnergyCons!$B$4:$B$10000="Var_cap")*1,  (ISNUMBER(SEARCH("ITOT-SWHNGAHP",[1]OUT_FinalEnergyCons!$A$4:$A$10000)))*1,[1]OUT_FinalEnergyCons!I$4:I$10000)</f>
        <v>5.7681303821905065E-3</v>
      </c>
    </row>
    <row r="1867" spans="2:11" x14ac:dyDescent="0.25">
      <c r="B1867" s="5" t="str">
        <f t="shared" si="1165"/>
        <v>SPS4</v>
      </c>
      <c r="C1867" s="5" t="str">
        <f t="shared" si="1212"/>
        <v>CH</v>
      </c>
      <c r="D1867" t="s">
        <v>2103</v>
      </c>
      <c r="E1867" t="str">
        <f t="shared" si="1121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3.5220542892163663E-2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0.10153418648431373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0.22634142524016121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0.5102784398853506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0.43909526997043857</v>
      </c>
    </row>
    <row r="1868" spans="2:11" x14ac:dyDescent="0.25">
      <c r="B1868" s="5" t="str">
        <f t="shared" si="1165"/>
        <v>SPS4</v>
      </c>
      <c r="C1868" s="5" t="str">
        <f t="shared" si="1212"/>
        <v>CH</v>
      </c>
      <c r="D1868" t="s">
        <v>2104</v>
      </c>
      <c r="E1868" t="str">
        <f t="shared" si="1121"/>
        <v>GWth/yr.</v>
      </c>
      <c r="F1868" s="1">
        <f>F1869</f>
        <v>0.26172155007150499</v>
      </c>
      <c r="G1868" s="1">
        <f t="shared" ref="G1868:K1868" si="1214">G1869</f>
        <v>0.18906900334492699</v>
      </c>
      <c r="H1868" s="1">
        <f t="shared" si="1214"/>
        <v>0.18749066009063572</v>
      </c>
      <c r="I1868" s="1">
        <f t="shared" si="1214"/>
        <v>4.8576350355322706E-5</v>
      </c>
      <c r="J1868" s="1">
        <f t="shared" si="1214"/>
        <v>2.1348730412377953E-5</v>
      </c>
      <c r="K1868" s="1">
        <f t="shared" si="1214"/>
        <v>6.1837962873004906E-6</v>
      </c>
    </row>
    <row r="1869" spans="2:11" x14ac:dyDescent="0.25">
      <c r="B1869" s="5" t="str">
        <f t="shared" si="1165"/>
        <v>SPS4</v>
      </c>
      <c r="C1869" s="5" t="str">
        <f t="shared" si="1212"/>
        <v>CH</v>
      </c>
      <c r="D1869" t="s">
        <v>2105</v>
      </c>
      <c r="E1869" t="str">
        <f t="shared" si="1121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0.18906900334492699</v>
      </c>
      <c r="H1869" s="1" cm="1">
        <f t="array" ref="H1869">SUMPRODUCT(([1]OUT_FinalEnergyCons!$B$4:$B$10000="Var_cap")*1,  (ISNUMBER(SEARCH("ITOT-SWHCOA*BR",[1]OUT_FinalEnergyCons!$A$4:$A$10000)))*1,[1]OUT_FinalEnergyCons!F$4:F$10000)</f>
        <v>0.18749066009063572</v>
      </c>
      <c r="I1869" s="1" cm="1">
        <f t="array" ref="I1869">SUMPRODUCT(([1]OUT_FinalEnergyCons!$B$4:$B$10000="Var_cap")*1,  (ISNUMBER(SEARCH("ITOT-SWHCOA*BR",[1]OUT_FinalEnergyCons!$A$4:$A$10000)))*1,[1]OUT_FinalEnergyCons!G$4:G$10000)</f>
        <v>4.8576350355322706E-5</v>
      </c>
      <c r="J1869" s="1" cm="1">
        <f t="array" ref="J1869">SUMPRODUCT(([1]OUT_FinalEnergyCons!$B$4:$B$10000="Var_cap")*1,  (ISNUMBER(SEARCH("ITOT-SWHCOA*BR",[1]OUT_FinalEnergyCons!$A$4:$A$10000)))*1,[1]OUT_FinalEnergyCons!H$4:H$10000)</f>
        <v>2.1348730412377953E-5</v>
      </c>
      <c r="K1869" s="1" cm="1">
        <f t="array" ref="K1869">SUMPRODUCT(([1]OUT_FinalEnergyCons!$B$4:$B$10000="Var_cap")*1,  (ISNUMBER(SEARCH("ITOT-SWHCOA*BR",[1]OUT_FinalEnergyCons!$A$4:$A$10000)))*1,[1]OUT_FinalEnergyCons!I$4:I$10000)</f>
        <v>6.1837962873004906E-6</v>
      </c>
    </row>
    <row r="1870" spans="2:11" x14ac:dyDescent="0.25">
      <c r="B1870" s="5" t="str">
        <f t="shared" si="1165"/>
        <v>SPS4</v>
      </c>
      <c r="C1870" s="5" t="str">
        <f t="shared" si="1212"/>
        <v>CH</v>
      </c>
      <c r="D1870" t="s">
        <v>2106</v>
      </c>
      <c r="E1870" t="str">
        <f t="shared" si="1121"/>
        <v>GWth/yr.</v>
      </c>
      <c r="F1870" s="1">
        <f>F1871</f>
        <v>0.28883369534761499</v>
      </c>
      <c r="G1870" s="1">
        <f t="shared" ref="G1870:K1870" si="1215">G1871</f>
        <v>0.34099103304219686</v>
      </c>
      <c r="H1870" s="1">
        <f t="shared" si="1215"/>
        <v>0.3409866354695551</v>
      </c>
      <c r="I1870" s="1">
        <f t="shared" si="1215"/>
        <v>0.34108671521747574</v>
      </c>
      <c r="J1870" s="1">
        <f t="shared" si="1215"/>
        <v>0.56268962535936429</v>
      </c>
      <c r="K1870" s="1">
        <f t="shared" si="1215"/>
        <v>0.55963370785902888</v>
      </c>
    </row>
    <row r="1871" spans="2:11" x14ac:dyDescent="0.25">
      <c r="B1871" s="5" t="str">
        <f t="shared" si="1165"/>
        <v>SPS4</v>
      </c>
      <c r="C1871" s="5" t="str">
        <f t="shared" si="1212"/>
        <v>CH</v>
      </c>
      <c r="D1871" t="s">
        <v>2107</v>
      </c>
      <c r="E1871" t="str">
        <f t="shared" si="1121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0.34099103304219686</v>
      </c>
      <c r="H1871" s="1" cm="1">
        <f t="array" ref="H1871">SUMPRODUCT(([1]OUT_FinalEnergyCons!$B$4:$B$10000="Var_cap")*1,  (ISNUMBER(SEARCH("ITOT-SWHWOD*BR",[1]OUT_FinalEnergyCons!$A$4:$A$10000)))*1,[1]OUT_FinalEnergyCons!F$4:F$10000)</f>
        <v>0.3409866354695551</v>
      </c>
      <c r="I1871" s="1" cm="1">
        <f t="array" ref="I1871">SUMPRODUCT(([1]OUT_FinalEnergyCons!$B$4:$B$10000="Var_cap")*1,  (ISNUMBER(SEARCH("ITOT-SWHWOD*BR",[1]OUT_FinalEnergyCons!$A$4:$A$10000)))*1,[1]OUT_FinalEnergyCons!G$4:G$10000)</f>
        <v>0.34108671521747574</v>
      </c>
      <c r="J1871" s="1" cm="1">
        <f t="array" ref="J1871">SUMPRODUCT(([1]OUT_FinalEnergyCons!$B$4:$B$10000="Var_cap")*1,  (ISNUMBER(SEARCH("ITOT-SWHWOD*BR",[1]OUT_FinalEnergyCons!$A$4:$A$10000)))*1,[1]OUT_FinalEnergyCons!H$4:H$10000)</f>
        <v>0.56268962535936429</v>
      </c>
      <c r="K1871" s="1" cm="1">
        <f t="array" ref="K1871">SUMPRODUCT(([1]OUT_FinalEnergyCons!$B$4:$B$10000="Var_cap")*1,  (ISNUMBER(SEARCH("ITOT-SWHWOD*BR",[1]OUT_FinalEnergyCons!$A$4:$A$10000)))*1,[1]OUT_FinalEnergyCons!I$4:I$10000)</f>
        <v>0.55963370785902888</v>
      </c>
    </row>
    <row r="1872" spans="2:11" x14ac:dyDescent="0.25">
      <c r="B1872" s="5" t="str">
        <f t="shared" si="1165"/>
        <v>SPS4</v>
      </c>
      <c r="C1872" s="5" t="str">
        <f t="shared" si="1212"/>
        <v>CH</v>
      </c>
      <c r="D1872" t="s">
        <v>2108</v>
      </c>
      <c r="E1872" t="str">
        <f t="shared" si="1121"/>
        <v>GWth/yr.</v>
      </c>
      <c r="F1872" s="1">
        <f>F1873</f>
        <v>2.9860759506449799E-2</v>
      </c>
      <c r="G1872" s="1">
        <f t="shared" ref="G1872:K1872" si="1216">G1873</f>
        <v>3.7950559751211324E-2</v>
      </c>
      <c r="H1872" s="1">
        <f t="shared" si="1216"/>
        <v>3.7947598373853662E-2</v>
      </c>
      <c r="I1872" s="1">
        <f t="shared" si="1216"/>
        <v>3.7941505374217137E-2</v>
      </c>
      <c r="J1872" s="1">
        <f t="shared" si="1216"/>
        <v>4.2991683729450982E-2</v>
      </c>
      <c r="K1872" s="1">
        <f t="shared" si="1216"/>
        <v>4.3262177162725762E-2</v>
      </c>
    </row>
    <row r="1873" spans="2:11" x14ac:dyDescent="0.25">
      <c r="B1873" s="5" t="str">
        <f t="shared" si="1165"/>
        <v>SPS4</v>
      </c>
      <c r="C1873" s="5" t="str">
        <f t="shared" si="1212"/>
        <v>CH</v>
      </c>
      <c r="D1873" t="s">
        <v>2109</v>
      </c>
      <c r="E1873" t="str">
        <f t="shared" si="1121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3.7950559751211324E-2</v>
      </c>
      <c r="H1873" s="1" cm="1">
        <f t="array" ref="H1873">SUMPRODUCT(([1]OUT_FinalEnergyCons!$B$4:$B$10000="Var_cap")*1,  (ISNUMBER(SEARCH("ITOT-SWHPLT*BR",[1]OUT_FinalEnergyCons!$A$4:$A$10000)))*1,[1]OUT_FinalEnergyCons!F$4:F$10000)</f>
        <v>3.7947598373853662E-2</v>
      </c>
      <c r="I1873" s="1" cm="1">
        <f t="array" ref="I1873">SUMPRODUCT(([1]OUT_FinalEnergyCons!$B$4:$B$10000="Var_cap")*1,  (ISNUMBER(SEARCH("ITOT-SWHPLT*BR",[1]OUT_FinalEnergyCons!$A$4:$A$10000)))*1,[1]OUT_FinalEnergyCons!G$4:G$10000)</f>
        <v>3.7941505374217137E-2</v>
      </c>
      <c r="J1873" s="1" cm="1">
        <f t="array" ref="J1873">SUMPRODUCT(([1]OUT_FinalEnergyCons!$B$4:$B$10000="Var_cap")*1,  (ISNUMBER(SEARCH("ITOT-SWHPLT*BR",[1]OUT_FinalEnergyCons!$A$4:$A$10000)))*1,[1]OUT_FinalEnergyCons!H$4:H$10000)</f>
        <v>4.2991683729450982E-2</v>
      </c>
      <c r="K1873" s="1" cm="1">
        <f t="array" ref="K1873">SUMPRODUCT(([1]OUT_FinalEnergyCons!$B$4:$B$10000="Var_cap")*1,  (ISNUMBER(SEARCH("ITOT-SWHPLT*BR",[1]OUT_FinalEnergyCons!$A$4:$A$10000)))*1,[1]OUT_FinalEnergyCons!I$4:I$10000)</f>
        <v>4.3262177162725762E-2</v>
      </c>
    </row>
    <row r="1874" spans="2:11" x14ac:dyDescent="0.25">
      <c r="B1874" s="5" t="str">
        <f t="shared" si="1165"/>
        <v>SPS4</v>
      </c>
      <c r="C1874" s="5" t="str">
        <f t="shared" si="1212"/>
        <v>CH</v>
      </c>
      <c r="D1874" t="s">
        <v>2110</v>
      </c>
      <c r="E1874" t="str">
        <f t="shared" si="1121"/>
        <v>GWth/yr.</v>
      </c>
      <c r="F1874" s="1">
        <f>F1875</f>
        <v>0.35954682816669398</v>
      </c>
      <c r="G1874" s="1">
        <f t="shared" ref="G1874:K1874" si="1217">G1875</f>
        <v>0.33659495194520095</v>
      </c>
      <c r="H1874" s="1">
        <f t="shared" si="1217"/>
        <v>0.33456566609535143</v>
      </c>
      <c r="I1874" s="1">
        <f t="shared" si="1217"/>
        <v>0.33450518404584056</v>
      </c>
      <c r="J1874" s="1">
        <f t="shared" si="1217"/>
        <v>0.18122851625083017</v>
      </c>
      <c r="K1874" s="1">
        <f t="shared" si="1217"/>
        <v>0.19137798840770368</v>
      </c>
    </row>
    <row r="1875" spans="2:11" x14ac:dyDescent="0.25">
      <c r="B1875" s="5" t="str">
        <f t="shared" si="1165"/>
        <v>SPS4</v>
      </c>
      <c r="C1875" s="5" t="str">
        <f t="shared" si="1212"/>
        <v>CH</v>
      </c>
      <c r="D1875" t="s">
        <v>2111</v>
      </c>
      <c r="E1875" t="str">
        <f t="shared" si="1121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0.33659495194520095</v>
      </c>
      <c r="H1875" s="1" cm="1">
        <f t="array" ref="H1875">SUMPRODUCT(([1]OUT_FinalEnergyCons!$B$4:$B$10000="Var_cap")*1,  (ISNUMBER(SEARCH("ITOT-SWHWST*BR",[1]OUT_FinalEnergyCons!$A$4:$A$10000)))*1,[1]OUT_FinalEnergyCons!F$4:F$10000)</f>
        <v>0.33456566609535143</v>
      </c>
      <c r="I1875" s="1" cm="1">
        <f t="array" ref="I1875">SUMPRODUCT(([1]OUT_FinalEnergyCons!$B$4:$B$10000="Var_cap")*1,  (ISNUMBER(SEARCH("ITOT-SWHWST*BR",[1]OUT_FinalEnergyCons!$A$4:$A$10000)))*1,[1]OUT_FinalEnergyCons!G$4:G$10000)</f>
        <v>0.33450518404584056</v>
      </c>
      <c r="J1875" s="1" cm="1">
        <f t="array" ref="J1875">SUMPRODUCT(([1]OUT_FinalEnergyCons!$B$4:$B$10000="Var_cap")*1,  (ISNUMBER(SEARCH("ITOT-SWHWST*BR",[1]OUT_FinalEnergyCons!$A$4:$A$10000)))*1,[1]OUT_FinalEnergyCons!H$4:H$10000)</f>
        <v>0.18122851625083017</v>
      </c>
      <c r="K1875" s="1" cm="1">
        <f t="array" ref="K1875">SUMPRODUCT(([1]OUT_FinalEnergyCons!$B$4:$B$10000="Var_cap")*1,  (ISNUMBER(SEARCH("ITOT-SWHWST*BR",[1]OUT_FinalEnergyCons!$A$4:$A$10000)))*1,[1]OUT_FinalEnergyCons!I$4:I$10000)</f>
        <v>0.19137798840770368</v>
      </c>
    </row>
    <row r="1876" spans="2:11" x14ac:dyDescent="0.25">
      <c r="B1876" s="5" t="str">
        <f t="shared" si="1165"/>
        <v>SPS4</v>
      </c>
      <c r="C1876" s="5" t="str">
        <f t="shared" si="1212"/>
        <v>CH</v>
      </c>
      <c r="D1876" t="s">
        <v>2112</v>
      </c>
      <c r="E1876" t="str">
        <f t="shared" si="1121"/>
        <v>GWth/yr.</v>
      </c>
      <c r="F1876" s="1">
        <f>F1877</f>
        <v>9.8214799778629808E-3</v>
      </c>
      <c r="G1876" s="1">
        <f t="shared" ref="G1876:K1876" si="1218">G1877</f>
        <v>1.2431398846438421E-2</v>
      </c>
      <c r="H1876" s="1">
        <f t="shared" si="1218"/>
        <v>1.2431413000874711E-2</v>
      </c>
      <c r="I1876" s="1">
        <f t="shared" si="1218"/>
        <v>1.243143146560962E-2</v>
      </c>
      <c r="J1876" s="1">
        <f t="shared" si="1218"/>
        <v>1.24307885490641E-2</v>
      </c>
      <c r="K1876" s="1">
        <f t="shared" si="1218"/>
        <v>1.24309452388394E-2</v>
      </c>
    </row>
    <row r="1877" spans="2:11" x14ac:dyDescent="0.25">
      <c r="B1877" s="5" t="str">
        <f t="shared" si="1165"/>
        <v>SPS4</v>
      </c>
      <c r="C1877" s="5" t="str">
        <f t="shared" si="1212"/>
        <v>CH</v>
      </c>
      <c r="D1877" t="s">
        <v>2113</v>
      </c>
      <c r="E1877" t="str">
        <f t="shared" si="1121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1.2431398846438421E-2</v>
      </c>
      <c r="H1877" s="1" cm="1">
        <f t="array" ref="H1877">SUMPRODUCT(([1]OUT_FinalEnergyCons!$B$4:$B$10000="Var_cap")*1, (ISNUMBER(SEARCH("ITOT-SWHSOLBR",[1]OUT_FinalEnergyCons!$A$4:$A$10000)))*1,[1]OUT_FinalEnergyCons!F$4:F$10000)</f>
        <v>1.2431413000874711E-2</v>
      </c>
      <c r="I1877" s="1" cm="1">
        <f t="array" ref="I1877">SUMPRODUCT(([1]OUT_FinalEnergyCons!$B$4:$B$10000="Var_cap")*1, (ISNUMBER(SEARCH("ITOT-SWHSOLBR",[1]OUT_FinalEnergyCons!$A$4:$A$10000)))*1,[1]OUT_FinalEnergyCons!G$4:G$10000)</f>
        <v>1.243143146560962E-2</v>
      </c>
      <c r="J1877" s="1" cm="1">
        <f t="array" ref="J1877">SUMPRODUCT(([1]OUT_FinalEnergyCons!$B$4:$B$10000="Var_cap")*1, (ISNUMBER(SEARCH("ITOT-SWHSOLBR",[1]OUT_FinalEnergyCons!$A$4:$A$10000)))*1,[1]OUT_FinalEnergyCons!H$4:H$10000)</f>
        <v>1.24307885490641E-2</v>
      </c>
      <c r="K1877" s="1" cm="1">
        <f t="array" ref="K1877">SUMPRODUCT(([1]OUT_FinalEnergyCons!$B$4:$B$10000="Var_cap")*1, (ISNUMBER(SEARCH("ITOT-SWHSOLBR",[1]OUT_FinalEnergyCons!$A$4:$A$10000)))*1,[1]OUT_FinalEnergyCons!I$4:I$10000)</f>
        <v>1.24309452388394E-2</v>
      </c>
    </row>
    <row r="1878" spans="2:11" x14ac:dyDescent="0.25">
      <c r="B1878" s="5" t="str">
        <f t="shared" si="1165"/>
        <v>SPS4</v>
      </c>
      <c r="C1878" s="5" t="str">
        <f t="shared" si="1212"/>
        <v>CH</v>
      </c>
      <c r="D1878" t="s">
        <v>2114</v>
      </c>
      <c r="E1878" t="str">
        <f t="shared" si="1121"/>
        <v>GWth/yr.</v>
      </c>
      <c r="F1878" s="1">
        <f>F1879</f>
        <v>0</v>
      </c>
      <c r="G1878" s="1">
        <f t="shared" ref="G1878:K1878" si="1219">G1879</f>
        <v>0</v>
      </c>
      <c r="H1878" s="1">
        <f t="shared" si="1219"/>
        <v>0</v>
      </c>
      <c r="I1878" s="1">
        <f t="shared" si="1219"/>
        <v>2.5036559031230098E-2</v>
      </c>
      <c r="J1878" s="1">
        <f t="shared" si="1219"/>
        <v>0.22821873069187229</v>
      </c>
      <c r="K1878" s="1">
        <f t="shared" si="1219"/>
        <v>0.57063584527291744</v>
      </c>
    </row>
    <row r="1879" spans="2:11" x14ac:dyDescent="0.25">
      <c r="B1879" s="5" t="str">
        <f t="shared" si="1165"/>
        <v>SPS4</v>
      </c>
      <c r="C1879" s="5" t="str">
        <f t="shared" si="1212"/>
        <v>CH</v>
      </c>
      <c r="D1879" t="s">
        <v>2115</v>
      </c>
      <c r="E1879" t="str">
        <f t="shared" si="1121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2.5036559031230098E-2</v>
      </c>
      <c r="J1879" s="1" cm="1">
        <f t="array" ref="J1879">SUMPRODUCT(([1]OUT_FinalEnergyCons!$B$4:$B$10000="Var_cap")*1, (ISNUMBER(SEARCH("ITOT-SWHH2BR",[1]OUT_FinalEnergyCons!$A$4:$A$10000)))*1,[1]OUT_FinalEnergyCons!H$4:H$10000)</f>
        <v>0.22821873069187229</v>
      </c>
      <c r="K1879" s="1" cm="1">
        <f t="array" ref="K1879">SUMPRODUCT(([1]OUT_FinalEnergyCons!$B$4:$B$10000="Var_cap")*1, (ISNUMBER(SEARCH("ITOT-SWHH2BR",[1]OUT_FinalEnergyCons!$A$4:$A$10000)))*1,[1]OUT_FinalEnergyCons!I$4:I$10000)</f>
        <v>0.57063584527291744</v>
      </c>
    </row>
    <row r="1880" spans="2:11" x14ac:dyDescent="0.25">
      <c r="B1880" s="9" t="str">
        <f t="shared" si="1165"/>
        <v>SPS4</v>
      </c>
      <c r="C1880" s="9" t="str">
        <f>C1808</f>
        <v>CH</v>
      </c>
      <c r="D1880" s="2" t="s">
        <v>1901</v>
      </c>
      <c r="E1880" s="9" t="str">
        <f t="shared" si="1121"/>
        <v>GWth/yr.</v>
      </c>
      <c r="F1880" s="17">
        <f>SUM(F1881,F1884,F1886,F1890,F1892,F1894,F1896)</f>
        <v>6.1445364496405359</v>
      </c>
      <c r="G1880" s="17">
        <f t="shared" ref="G1880:K1880" si="1220">SUM(G1881,G1884,G1886,G1890,G1892,G1894,G1896)</f>
        <v>6.0078342870717067</v>
      </c>
      <c r="H1880" s="17">
        <f t="shared" si="1220"/>
        <v>6.0375443533172364</v>
      </c>
      <c r="I1880" s="17">
        <f t="shared" si="1220"/>
        <v>6.2831958165048754</v>
      </c>
      <c r="J1880" s="17">
        <f t="shared" si="1220"/>
        <v>4.7135477960808032</v>
      </c>
      <c r="K1880" s="17">
        <f t="shared" si="1220"/>
        <v>4.5386354337545889</v>
      </c>
    </row>
    <row r="1881" spans="2:11" x14ac:dyDescent="0.25">
      <c r="B1881" s="5" t="str">
        <f t="shared" si="1165"/>
        <v>SPS4</v>
      </c>
      <c r="C1881" s="5" t="str">
        <f>C1880</f>
        <v>CH</v>
      </c>
      <c r="D1881" t="s">
        <v>1902</v>
      </c>
      <c r="E1881" t="str">
        <f t="shared" si="1121"/>
        <v>GWth/yr.</v>
      </c>
      <c r="F1881" s="1">
        <f>SUM(F1882:F1883)</f>
        <v>0.61560590478558352</v>
      </c>
      <c r="G1881" s="1">
        <f t="shared" ref="G1881:K1881" si="1221">SUM(G1882:G1883)</f>
        <v>0.46385292405403783</v>
      </c>
      <c r="H1881" s="1">
        <f t="shared" si="1221"/>
        <v>0.47131544516297319</v>
      </c>
      <c r="I1881" s="1">
        <f t="shared" si="1221"/>
        <v>0.59019186336691187</v>
      </c>
      <c r="J1881" s="1">
        <f t="shared" si="1221"/>
        <v>0.89545283637304007</v>
      </c>
      <c r="K1881" s="1">
        <f t="shared" si="1221"/>
        <v>1.1750404696792014</v>
      </c>
    </row>
    <row r="1882" spans="2:11" x14ac:dyDescent="0.25">
      <c r="B1882" s="5" t="str">
        <f t="shared" si="1165"/>
        <v>SPS4</v>
      </c>
      <c r="C1882" s="5" t="str">
        <f>C1881</f>
        <v>CH</v>
      </c>
      <c r="D1882" t="s">
        <v>1903</v>
      </c>
      <c r="E1882" t="str">
        <f t="shared" si="1121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0.18498851309401143</v>
      </c>
      <c r="G1882" s="1" cm="1">
        <f t="array" ref="G1882">SUMPRODUCT(([1]OUT_FinalEnergyCons!$B$4:$B$10000="Var_cap")*1, (ISNUMBER(SEARCH("SCOM-SHELCBR",[1]OUT_FinalEnergyCons!$A$4:$A$10000)))*1,[1]OUT_FinalEnergyCons!E$4:E$10000)</f>
        <v>3.323573803422003E-2</v>
      </c>
      <c r="H1882" s="1" cm="1">
        <f t="array" ref="H1882">SUMPRODUCT(([1]OUT_FinalEnergyCons!$B$4:$B$10000="Var_cap")*1, (ISNUMBER(SEARCH("SCOM-SHELCBR",[1]OUT_FinalEnergyCons!$A$4:$A$10000)))*1,[1]OUT_FinalEnergyCons!F$4:F$10000)</f>
        <v>4.069818483189E-2</v>
      </c>
      <c r="I1882" s="1" cm="1">
        <f t="array" ref="I1882">SUMPRODUCT(([1]OUT_FinalEnergyCons!$B$4:$B$10000="Var_cap")*1, (ISNUMBER(SEARCH("SCOM-SHELCBR",[1]OUT_FinalEnergyCons!$A$4:$A$10000)))*1,[1]OUT_FinalEnergyCons!G$4:G$10000)</f>
        <v>4.0696250442664561E-2</v>
      </c>
      <c r="J1882" s="1" cm="1">
        <f t="array" ref="J1882">SUMPRODUCT(([1]OUT_FinalEnergyCons!$B$4:$B$10000="Var_cap")*1, (ISNUMBER(SEARCH("SCOM-SHELCBR",[1]OUT_FinalEnergyCons!$A$4:$A$10000)))*1,[1]OUT_FinalEnergyCons!H$4:H$10000)</f>
        <v>3.6157423561537248E-2</v>
      </c>
      <c r="K1882" s="1" cm="1">
        <f t="array" ref="K1882">SUMPRODUCT(([1]OUT_FinalEnergyCons!$B$4:$B$10000="Var_cap")*1, (ISNUMBER(SEARCH("SCOM-SHELCBR",[1]OUT_FinalEnergyCons!$A$4:$A$10000)))*1,[1]OUT_FinalEnergyCons!I$4:I$10000)</f>
        <v>2.1843927914182319E-2</v>
      </c>
    </row>
    <row r="1883" spans="2:11" x14ac:dyDescent="0.25">
      <c r="B1883" s="5" t="str">
        <f t="shared" si="1165"/>
        <v>SPS4</v>
      </c>
      <c r="C1883" s="5" t="str">
        <f t="shared" ref="B1883:C1883" si="1222">C1882</f>
        <v>CH</v>
      </c>
      <c r="D1883" t="s">
        <v>1904</v>
      </c>
      <c r="E1883" t="str">
        <f t="shared" si="1121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0.43061739169157215</v>
      </c>
      <c r="G1883" s="1" cm="1">
        <f t="array" ref="G1883">SUMPRODUCT(([1]OUT_FinalEnergyCons!$B$4:$B$10000="Var_cap")*1, (ISNUMBER(SEARCH("SCOM-SHELCHP",[1]OUT_FinalEnergyCons!$A$4:$A$10000)))*1,[1]OUT_FinalEnergyCons!E$4:E$10000)</f>
        <v>0.4306171860198178</v>
      </c>
      <c r="H1883" s="1" cm="1">
        <f t="array" ref="H1883">SUMPRODUCT(([1]OUT_FinalEnergyCons!$B$4:$B$10000="Var_cap")*1, (ISNUMBER(SEARCH("SCOM-SHELCHP",[1]OUT_FinalEnergyCons!$A$4:$A$10000)))*1,[1]OUT_FinalEnergyCons!F$4:F$10000)</f>
        <v>0.43061726033108322</v>
      </c>
      <c r="I1883" s="1" cm="1">
        <f t="array" ref="I1883">SUMPRODUCT(([1]OUT_FinalEnergyCons!$B$4:$B$10000="Var_cap")*1, (ISNUMBER(SEARCH("SCOM-SHELCHP",[1]OUT_FinalEnergyCons!$A$4:$A$10000)))*1,[1]OUT_FinalEnergyCons!G$4:G$10000)</f>
        <v>0.54949561292424731</v>
      </c>
      <c r="J1883" s="1" cm="1">
        <f t="array" ref="J1883">SUMPRODUCT(([1]OUT_FinalEnergyCons!$B$4:$B$10000="Var_cap")*1, (ISNUMBER(SEARCH("SCOM-SHELCHP",[1]OUT_FinalEnergyCons!$A$4:$A$10000)))*1,[1]OUT_FinalEnergyCons!H$4:H$10000)</f>
        <v>0.85929541281150279</v>
      </c>
      <c r="K1883" s="1" cm="1">
        <f t="array" ref="K1883">SUMPRODUCT(([1]OUT_FinalEnergyCons!$B$4:$B$10000="Var_cap")*1, (ISNUMBER(SEARCH("SCOM-SHELCHP",[1]OUT_FinalEnergyCons!$A$4:$A$10000)))*1,[1]OUT_FinalEnergyCons!I$4:I$10000)</f>
        <v>1.1531965417650192</v>
      </c>
    </row>
    <row r="1884" spans="2:11" x14ac:dyDescent="0.25">
      <c r="B1884" s="5" t="str">
        <f t="shared" si="1165"/>
        <v>SPS4</v>
      </c>
      <c r="C1884" s="5" t="str">
        <f t="shared" ref="B1884:C1884" si="1223">C1883</f>
        <v>CH</v>
      </c>
      <c r="D1884" t="s">
        <v>1905</v>
      </c>
      <c r="E1884" t="str">
        <f t="shared" si="1121"/>
        <v>GWth/yr.</v>
      </c>
      <c r="F1884" s="1">
        <f>F1885</f>
        <v>1.9285739474361847</v>
      </c>
      <c r="G1884" s="1">
        <f t="shared" ref="G1884:K1884" si="1224">G1885</f>
        <v>1.8705200327363609</v>
      </c>
      <c r="H1884" s="1">
        <f t="shared" si="1224"/>
        <v>1.8705107510634489</v>
      </c>
      <c r="I1884" s="1">
        <f t="shared" si="1224"/>
        <v>1.8705071585265511</v>
      </c>
      <c r="J1884" s="1">
        <f t="shared" si="1224"/>
        <v>0.77654904806124336</v>
      </c>
      <c r="K1884" s="1">
        <f t="shared" si="1224"/>
        <v>0.41840154451967954</v>
      </c>
    </row>
    <row r="1885" spans="2:11" x14ac:dyDescent="0.25">
      <c r="B1885" s="5" t="str">
        <f t="shared" si="1165"/>
        <v>SPS4</v>
      </c>
      <c r="C1885" s="5" t="str">
        <f t="shared" ref="B1885:C1885" si="1225">C1884</f>
        <v>CH</v>
      </c>
      <c r="D1885" t="s">
        <v>1906</v>
      </c>
      <c r="E1885" t="str">
        <f t="shared" ref="E1885:E1897" si="1226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1.9285739474361847</v>
      </c>
      <c r="G1885" s="1" cm="1">
        <f t="array" ref="G1885">SUMPRODUCT(([1]OUT_FinalEnergyCons!$B$4:$B$10000="Var_cap")*1,(ISNUMBER(SEARCH("SCOM-SHLFOBR",[1]OUT_FinalEnergyCons!$A$4:$A$10000)))*1,[1]OUT_FinalEnergyCons!E$4:E$10000)</f>
        <v>1.8705200327363609</v>
      </c>
      <c r="H1885" s="1" cm="1">
        <f t="array" ref="H1885">SUMPRODUCT(([1]OUT_FinalEnergyCons!$B$4:$B$10000="Var_cap")*1,(ISNUMBER(SEARCH("SCOM-SHLFOBR",[1]OUT_FinalEnergyCons!$A$4:$A$10000)))*1,[1]OUT_FinalEnergyCons!F$4:F$10000)</f>
        <v>1.8705107510634489</v>
      </c>
      <c r="I1885" s="1" cm="1">
        <f t="array" ref="I1885">SUMPRODUCT(([1]OUT_FinalEnergyCons!$B$4:$B$10000="Var_cap")*1,(ISNUMBER(SEARCH("SCOM-SHLFOBR",[1]OUT_FinalEnergyCons!$A$4:$A$10000)))*1,[1]OUT_FinalEnergyCons!G$4:G$10000)</f>
        <v>1.8705071585265511</v>
      </c>
      <c r="J1885" s="1" cm="1">
        <f t="array" ref="J1885">SUMPRODUCT(([1]OUT_FinalEnergyCons!$B$4:$B$10000="Var_cap")*1,(ISNUMBER(SEARCH("SCOM-SHLFOBR",[1]OUT_FinalEnergyCons!$A$4:$A$10000)))*1,[1]OUT_FinalEnergyCons!H$4:H$10000)</f>
        <v>0.77654904806124336</v>
      </c>
      <c r="K1885" s="1" cm="1">
        <f t="array" ref="K1885">SUMPRODUCT(([1]OUT_FinalEnergyCons!$B$4:$B$10000="Var_cap")*1,(ISNUMBER(SEARCH("SCOM-SHLFOBR",[1]OUT_FinalEnergyCons!$A$4:$A$10000)))*1,[1]OUT_FinalEnergyCons!I$4:I$10000)</f>
        <v>0.41840154451967954</v>
      </c>
    </row>
    <row r="1886" spans="2:11" x14ac:dyDescent="0.25">
      <c r="B1886" s="5" t="str">
        <f t="shared" si="1165"/>
        <v>SPS4</v>
      </c>
      <c r="C1886" s="5" t="str">
        <f t="shared" ref="B1886:C1886" si="1227">C1885</f>
        <v>CH</v>
      </c>
      <c r="D1886" t="s">
        <v>1907</v>
      </c>
      <c r="E1886" t="str">
        <f t="shared" si="1226"/>
        <v>GWth/yr.</v>
      </c>
      <c r="F1886" s="1">
        <f>SUM(F1887:F1889)</f>
        <v>2.8800228754489035</v>
      </c>
      <c r="G1886" s="1">
        <f t="shared" ref="G1886:K1886" si="1228">SUM(G1887:G1889)</f>
        <v>2.8800306656720944</v>
      </c>
      <c r="H1886" s="1">
        <f t="shared" si="1228"/>
        <v>3.0077053764642612</v>
      </c>
      <c r="I1886" s="1">
        <f t="shared" si="1228"/>
        <v>3.1344811471454248</v>
      </c>
      <c r="J1886" s="1">
        <f t="shared" si="1228"/>
        <v>1.5530322162270376</v>
      </c>
      <c r="K1886" s="1">
        <f t="shared" si="1228"/>
        <v>1.2810612216574078</v>
      </c>
    </row>
    <row r="1887" spans="2:11" x14ac:dyDescent="0.25">
      <c r="B1887" s="5" t="str">
        <f t="shared" si="1165"/>
        <v>SPS4</v>
      </c>
      <c r="C1887" s="5" t="str">
        <f t="shared" ref="B1887:C1887" si="1229">C1886</f>
        <v>CH</v>
      </c>
      <c r="D1887" t="s">
        <v>1908</v>
      </c>
      <c r="E1887" t="str">
        <f t="shared" si="1226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2.7746815688350579</v>
      </c>
      <c r="G1887" s="1" cm="1">
        <f t="array" ref="G1887">SUMPRODUCT(([1]OUT_FinalEnergyCons!$B$4:$B$10000="Var_cap")*1, (ISNUMBER(SEARCH("SCOM-SHNGABR",[1]OUT_FinalEnergyCons!$A$4:$A$10000)))*1,[1]OUT_FinalEnergyCons!E$4:E$10000)</f>
        <v>2.7746690092862041</v>
      </c>
      <c r="H1887" s="1" cm="1">
        <f t="array" ref="H1887">SUMPRODUCT(([1]OUT_FinalEnergyCons!$B$4:$B$10000="Var_cap")*1, (ISNUMBER(SEARCH("SCOM-SHNGABR",[1]OUT_FinalEnergyCons!$A$4:$A$10000)))*1,[1]OUT_FinalEnergyCons!F$4:F$10000)</f>
        <v>2.7746483890708751</v>
      </c>
      <c r="I1887" s="1" cm="1">
        <f t="array" ref="I1887">SUMPRODUCT(([1]OUT_FinalEnergyCons!$B$4:$B$10000="Var_cap")*1, (ISNUMBER(SEARCH("SCOM-SHNGABR",[1]OUT_FinalEnergyCons!$A$4:$A$10000)))*1,[1]OUT_FinalEnergyCons!G$4:G$10000)</f>
        <v>2.7746421466593492</v>
      </c>
      <c r="J1887" s="1" cm="1">
        <f t="array" ref="J1887">SUMPRODUCT(([1]OUT_FinalEnergyCons!$B$4:$B$10000="Var_cap")*1, (ISNUMBER(SEARCH("SCOM-SHNGABR",[1]OUT_FinalEnergyCons!$A$4:$A$10000)))*1,[1]OUT_FinalEnergyCons!H$4:H$10000)</f>
        <v>1.1115399347070547</v>
      </c>
      <c r="K1887" s="1" cm="1">
        <f t="array" ref="K1887">SUMPRODUCT(([1]OUT_FinalEnergyCons!$B$4:$B$10000="Var_cap")*1, (ISNUMBER(SEARCH("SCOM-SHNGABR",[1]OUT_FinalEnergyCons!$A$4:$A$10000)))*1,[1]OUT_FinalEnergyCons!I$4:I$10000)</f>
        <v>0.64442283953811463</v>
      </c>
    </row>
    <row r="1888" spans="2:11" x14ac:dyDescent="0.25">
      <c r="B1888" s="5" t="str">
        <f t="shared" si="1165"/>
        <v>SPS4</v>
      </c>
      <c r="C1888" s="5" t="str">
        <f t="shared" ref="B1888:C1888" si="1230">C1887</f>
        <v>CH</v>
      </c>
      <c r="D1888" t="s">
        <v>1909</v>
      </c>
      <c r="E1888" t="str">
        <f t="shared" si="1226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1.92047651490079E-7</v>
      </c>
      <c r="G1888" s="1" cm="1">
        <f t="array" ref="G1888">SUMPRODUCT(([1]OUT_FinalEnergyCons!$B$4:$B$10000="Var_cap")*1, (ISNUMBER(SEARCH("SCOM-SHngahp",[1]OUT_FinalEnergyCons!$A$4:$A$10000)))*1,[1]OUT_FinalEnergyCons!E$4:E$10000)</f>
        <v>1.9251392417434436E-5</v>
      </c>
      <c r="H1888" s="1" cm="1">
        <f t="array" ref="H1888">SUMPRODUCT(([1]OUT_FinalEnergyCons!$B$4:$B$10000="Var_cap")*1, (ISNUMBER(SEARCH("SCOM-SHngahp",[1]OUT_FinalEnergyCons!$A$4:$A$10000)))*1,[1]OUT_FinalEnergyCons!F$4:F$10000)</f>
        <v>0.12773110831672396</v>
      </c>
      <c r="I1888" s="1" cm="1">
        <f t="array" ref="I1888">SUMPRODUCT(([1]OUT_FinalEnergyCons!$B$4:$B$10000="Var_cap")*1, (ISNUMBER(SEARCH("SCOM-SHngahp",[1]OUT_FinalEnergyCons!$A$4:$A$10000)))*1,[1]OUT_FinalEnergyCons!G$4:G$10000)</f>
        <v>0.25451690400059579</v>
      </c>
      <c r="J1888" s="1" cm="1">
        <f t="array" ref="J1888">SUMPRODUCT(([1]OUT_FinalEnergyCons!$B$4:$B$10000="Var_cap")*1, (ISNUMBER(SEARCH("SCOM-SHngahp",[1]OUT_FinalEnergyCons!$A$4:$A$10000)))*1,[1]OUT_FinalEnergyCons!H$4:H$10000)</f>
        <v>0.44146629128360798</v>
      </c>
      <c r="K1888" s="1" cm="1">
        <f t="array" ref="K1888">SUMPRODUCT(([1]OUT_FinalEnergyCons!$B$4:$B$10000="Var_cap")*1, (ISNUMBER(SEARCH("SCOM-SHngahp",[1]OUT_FinalEnergyCons!$A$4:$A$10000)))*1,[1]OUT_FinalEnergyCons!I$4:I$10000)</f>
        <v>0.63661210750840436</v>
      </c>
    </row>
    <row r="1889" spans="2:11" x14ac:dyDescent="0.25">
      <c r="B1889" s="5" t="str">
        <f t="shared" si="1165"/>
        <v>SPS4</v>
      </c>
      <c r="C1889" s="5" t="str">
        <f t="shared" ref="B1889:C1889" si="1231">C1888</f>
        <v>CH</v>
      </c>
      <c r="D1889" t="s">
        <v>1910</v>
      </c>
      <c r="E1889" t="str">
        <f t="shared" si="1226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0.10534111456619387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0.10534240499347276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0.10532587907666245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0.10532209648547976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2.5990236374788463E-5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2.6274610888679414E-5</v>
      </c>
    </row>
    <row r="1890" spans="2:11" x14ac:dyDescent="0.25">
      <c r="B1890" s="5" t="str">
        <f t="shared" si="1165"/>
        <v>SPS4</v>
      </c>
      <c r="C1890" s="5" t="str">
        <f t="shared" ref="B1890:C1890" si="1232">C1889</f>
        <v>CH</v>
      </c>
      <c r="D1890" t="s">
        <v>1911</v>
      </c>
      <c r="E1890" t="str">
        <f t="shared" si="1226"/>
        <v>GWth/yr.</v>
      </c>
      <c r="F1890" s="1">
        <f>F1891</f>
        <v>0.4785789378810214</v>
      </c>
      <c r="G1890" s="1">
        <f t="shared" ref="G1890:K1890" si="1233">G1891</f>
        <v>0.51879146056305592</v>
      </c>
      <c r="H1890" s="1">
        <f t="shared" si="1233"/>
        <v>0.51879242462966213</v>
      </c>
      <c r="I1890" s="1">
        <f t="shared" si="1233"/>
        <v>0.51879591359927046</v>
      </c>
      <c r="J1890" s="1">
        <f t="shared" si="1233"/>
        <v>0.49923117434833353</v>
      </c>
      <c r="K1890" s="1">
        <f t="shared" si="1233"/>
        <v>0.49818910129729455</v>
      </c>
    </row>
    <row r="1891" spans="2:11" x14ac:dyDescent="0.25">
      <c r="B1891" s="5" t="str">
        <f t="shared" si="1165"/>
        <v>SPS4</v>
      </c>
      <c r="C1891" s="5" t="str">
        <f t="shared" ref="B1891:C1891" si="1234">C1890</f>
        <v>CH</v>
      </c>
      <c r="D1891" t="s">
        <v>1912</v>
      </c>
      <c r="E1891" t="str">
        <f t="shared" si="1226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0.4785789378810214</v>
      </c>
      <c r="G1891" s="1" cm="1">
        <f t="array" ref="G1891">SUMPRODUCT(([1]OUT_FinalEnergyCons!$B$4:$B$10000="Var_cap")*1, (ISNUMBER(SEARCH("SCOM-SHWODBR",[1]OUT_FinalEnergyCons!$A$4:$A$10000)))*1,[1]OUT_FinalEnergyCons!E$4:E$10000)</f>
        <v>0.51879146056305592</v>
      </c>
      <c r="H1891" s="1" cm="1">
        <f t="array" ref="H1891">SUMPRODUCT(([1]OUT_FinalEnergyCons!$B$4:$B$10000="Var_cap")*1, (ISNUMBER(SEARCH("SCOM-SHWODBR",[1]OUT_FinalEnergyCons!$A$4:$A$10000)))*1,[1]OUT_FinalEnergyCons!F$4:F$10000)</f>
        <v>0.51879242462966213</v>
      </c>
      <c r="I1891" s="1" cm="1">
        <f t="array" ref="I1891">SUMPRODUCT(([1]OUT_FinalEnergyCons!$B$4:$B$10000="Var_cap")*1, (ISNUMBER(SEARCH("SCOM-SHWODBR",[1]OUT_FinalEnergyCons!$A$4:$A$10000)))*1,[1]OUT_FinalEnergyCons!G$4:G$10000)</f>
        <v>0.51879591359927046</v>
      </c>
      <c r="J1891" s="1" cm="1">
        <f t="array" ref="J1891">SUMPRODUCT(([1]OUT_FinalEnergyCons!$B$4:$B$10000="Var_cap")*1, (ISNUMBER(SEARCH("SCOM-SHWODBR",[1]OUT_FinalEnergyCons!$A$4:$A$10000)))*1,[1]OUT_FinalEnergyCons!H$4:H$10000)</f>
        <v>0.49923117434833353</v>
      </c>
      <c r="K1891" s="1" cm="1">
        <f t="array" ref="K1891">SUMPRODUCT(([1]OUT_FinalEnergyCons!$B$4:$B$10000="Var_cap")*1, (ISNUMBER(SEARCH("SCOM-SHWODBR",[1]OUT_FinalEnergyCons!$A$4:$A$10000)))*1,[1]OUT_FinalEnergyCons!I$4:I$10000)</f>
        <v>0.49818910129729455</v>
      </c>
    </row>
    <row r="1892" spans="2:11" x14ac:dyDescent="0.25">
      <c r="B1892" s="5" t="str">
        <f t="shared" si="1165"/>
        <v>SPS4</v>
      </c>
      <c r="C1892" s="5" t="str">
        <f t="shared" ref="B1892:C1892" si="1235">C1891</f>
        <v>CH</v>
      </c>
      <c r="D1892" t="s">
        <v>1913</v>
      </c>
      <c r="E1892" t="str">
        <f t="shared" si="1226"/>
        <v>GWth/yr.</v>
      </c>
      <c r="F1892" s="1">
        <f>F1893</f>
        <v>0.15066750106975746</v>
      </c>
      <c r="G1892" s="1">
        <f t="shared" ref="G1892:K1892" si="1236">G1893</f>
        <v>0.17481122975340579</v>
      </c>
      <c r="H1892" s="1">
        <f t="shared" si="1236"/>
        <v>6.9392584201739202E-2</v>
      </c>
      <c r="I1892" s="1">
        <f t="shared" si="1236"/>
        <v>6.9391502687939602E-2</v>
      </c>
      <c r="J1892" s="1">
        <f t="shared" si="1236"/>
        <v>0.1296493394735686</v>
      </c>
      <c r="K1892" s="1">
        <f t="shared" si="1236"/>
        <v>0.17365910860824918</v>
      </c>
    </row>
    <row r="1893" spans="2:11" x14ac:dyDescent="0.25">
      <c r="B1893" s="5" t="str">
        <f t="shared" si="1165"/>
        <v>SPS4</v>
      </c>
      <c r="C1893" s="5" t="str">
        <f t="shared" ref="B1893:C1893" si="1237">C1892</f>
        <v>CH</v>
      </c>
      <c r="D1893" t="s">
        <v>1914</v>
      </c>
      <c r="E1893" t="str">
        <f t="shared" si="1226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0.15066750106975746</v>
      </c>
      <c r="G1893" s="1" cm="1">
        <f t="array" ref="G1893">SUMPRODUCT(([1]OUT_FinalEnergyCons!$B$4:$B$10000="Var_cap")*1,(ISNUMBER(SEARCH("SCOM-SHPLTBR",[1]OUT_FinalEnergyCons!$A$4:$A$10000)))*1,[1]OUT_FinalEnergyCons!E$4:E$10000)</f>
        <v>0.17481122975340579</v>
      </c>
      <c r="H1893" s="1" cm="1">
        <f t="array" ref="H1893">SUMPRODUCT(([1]OUT_FinalEnergyCons!$B$4:$B$10000="Var_cap")*1,(ISNUMBER(SEARCH("SCOM-SHPLTBR",[1]OUT_FinalEnergyCons!$A$4:$A$10000)))*1,[1]OUT_FinalEnergyCons!F$4:F$10000)</f>
        <v>6.9392584201739202E-2</v>
      </c>
      <c r="I1893" s="1" cm="1">
        <f t="array" ref="I1893">SUMPRODUCT(([1]OUT_FinalEnergyCons!$B$4:$B$10000="Var_cap")*1,(ISNUMBER(SEARCH("SCOM-SHPLTBR",[1]OUT_FinalEnergyCons!$A$4:$A$10000)))*1,[1]OUT_FinalEnergyCons!G$4:G$10000)</f>
        <v>6.9391502687939602E-2</v>
      </c>
      <c r="J1893" s="1" cm="1">
        <f t="array" ref="J1893">SUMPRODUCT(([1]OUT_FinalEnergyCons!$B$4:$B$10000="Var_cap")*1,(ISNUMBER(SEARCH("SCOM-SHPLTBR",[1]OUT_FinalEnergyCons!$A$4:$A$10000)))*1,[1]OUT_FinalEnergyCons!H$4:H$10000)</f>
        <v>0.1296493394735686</v>
      </c>
      <c r="K1893" s="1" cm="1">
        <f t="array" ref="K1893">SUMPRODUCT(([1]OUT_FinalEnergyCons!$B$4:$B$10000="Var_cap")*1,(ISNUMBER(SEARCH("SCOM-SHPLTBR",[1]OUT_FinalEnergyCons!$A$4:$A$10000)))*1,[1]OUT_FinalEnergyCons!I$4:I$10000)</f>
        <v>0.17365910860824918</v>
      </c>
    </row>
    <row r="1894" spans="2:11" x14ac:dyDescent="0.25">
      <c r="B1894" s="5" t="str">
        <f t="shared" si="1165"/>
        <v>SPS4</v>
      </c>
      <c r="C1894" s="5" t="str">
        <f t="shared" ref="B1894:C1894" si="1238">C1893</f>
        <v>CH</v>
      </c>
      <c r="D1894" t="s">
        <v>1915</v>
      </c>
      <c r="E1894" t="str">
        <f t="shared" si="1226"/>
        <v>GWth/yr.</v>
      </c>
      <c r="F1894" s="1">
        <f>F1895</f>
        <v>9.1087283019085072E-2</v>
      </c>
      <c r="G1894" s="1">
        <f t="shared" ref="G1894:K1894" si="1239">G1895</f>
        <v>9.9827974292751614E-2</v>
      </c>
      <c r="H1894" s="1">
        <f t="shared" si="1239"/>
        <v>9.982777179515144E-2</v>
      </c>
      <c r="I1894" s="1">
        <f t="shared" si="1239"/>
        <v>9.9827905000826792E-2</v>
      </c>
      <c r="J1894" s="1">
        <f t="shared" si="1239"/>
        <v>0.10585636628069262</v>
      </c>
      <c r="K1894" s="1">
        <f t="shared" si="1239"/>
        <v>0.12593616137145749</v>
      </c>
    </row>
    <row r="1895" spans="2:11" x14ac:dyDescent="0.25">
      <c r="B1895" s="5" t="str">
        <f t="shared" si="1165"/>
        <v>SPS4</v>
      </c>
      <c r="C1895" s="5" t="str">
        <f t="shared" ref="B1895:C1895" si="1240">C1894</f>
        <v>CH</v>
      </c>
      <c r="D1895" t="s">
        <v>1916</v>
      </c>
      <c r="E1895" t="str">
        <f t="shared" si="1226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9.1087283019085072E-2</v>
      </c>
      <c r="G1895" s="1" cm="1">
        <f t="array" ref="G1895">SUMPRODUCT(([1]OUT_FinalEnergyCons!$B$4:$B$10000="Var_cap")*1, (ISNUMBER(SEARCH("SCOM-SHSOLBR",[1]OUT_FinalEnergyCons!$A$4:$A$10000)))*1,[1]OUT_FinalEnergyCons!E$4:E$10000)</f>
        <v>9.9827974292751614E-2</v>
      </c>
      <c r="H1895" s="1" cm="1">
        <f t="array" ref="H1895">SUMPRODUCT(([1]OUT_FinalEnergyCons!$B$4:$B$10000="Var_cap")*1, (ISNUMBER(SEARCH("SCOM-SHSOLBR",[1]OUT_FinalEnergyCons!$A$4:$A$10000)))*1,[1]OUT_FinalEnergyCons!F$4:F$10000)</f>
        <v>9.982777179515144E-2</v>
      </c>
      <c r="I1895" s="1" cm="1">
        <f t="array" ref="I1895">SUMPRODUCT(([1]OUT_FinalEnergyCons!$B$4:$B$10000="Var_cap")*1, (ISNUMBER(SEARCH("SCOM-SHSOLBR",[1]OUT_FinalEnergyCons!$A$4:$A$10000)))*1,[1]OUT_FinalEnergyCons!G$4:G$10000)</f>
        <v>9.9827905000826792E-2</v>
      </c>
      <c r="J1895" s="1" cm="1">
        <f t="array" ref="J1895">SUMPRODUCT(([1]OUT_FinalEnergyCons!$B$4:$B$10000="Var_cap")*1, (ISNUMBER(SEARCH("SCOM-SHSOLBR",[1]OUT_FinalEnergyCons!$A$4:$A$10000)))*1,[1]OUT_FinalEnergyCons!H$4:H$10000)</f>
        <v>0.10585636628069262</v>
      </c>
      <c r="K1895" s="1" cm="1">
        <f t="array" ref="K1895">SUMPRODUCT(([1]OUT_FinalEnergyCons!$B$4:$B$10000="Var_cap")*1, (ISNUMBER(SEARCH("SCOM-SHSOLBR",[1]OUT_FinalEnergyCons!$A$4:$A$10000)))*1,[1]OUT_FinalEnergyCons!I$4:I$10000)</f>
        <v>0.12593616137145749</v>
      </c>
    </row>
    <row r="1896" spans="2:11" x14ac:dyDescent="0.25">
      <c r="B1896" s="5" t="str">
        <f t="shared" si="1165"/>
        <v>SPS4</v>
      </c>
      <c r="C1896" s="5" t="str">
        <f t="shared" ref="B1896:C1896" si="1241">C1895</f>
        <v>CH</v>
      </c>
      <c r="D1896" t="s">
        <v>1917</v>
      </c>
      <c r="E1896" t="str">
        <f t="shared" si="1226"/>
        <v>GWth/yr.</v>
      </c>
      <c r="F1896" s="1">
        <f>F1897</f>
        <v>0</v>
      </c>
      <c r="G1896" s="1">
        <f t="shared" ref="G1896:K1896" si="1242">G1897</f>
        <v>0</v>
      </c>
      <c r="H1896" s="1">
        <f t="shared" si="1242"/>
        <v>0</v>
      </c>
      <c r="I1896" s="1">
        <f t="shared" si="1242"/>
        <v>3.2617795059807202E-7</v>
      </c>
      <c r="J1896" s="1">
        <f t="shared" si="1242"/>
        <v>0.75377681531688723</v>
      </c>
      <c r="K1896" s="1">
        <f t="shared" si="1242"/>
        <v>0.86634782662129861</v>
      </c>
    </row>
    <row r="1897" spans="2:11" x14ac:dyDescent="0.25">
      <c r="B1897" s="5" t="str">
        <f t="shared" si="1165"/>
        <v>SPS4</v>
      </c>
      <c r="C1897" s="5" t="str">
        <f t="shared" ref="B1897:C1897" si="1243">C1896</f>
        <v>CH</v>
      </c>
      <c r="D1897" t="s">
        <v>1918</v>
      </c>
      <c r="E1897" t="str">
        <f t="shared" si="1226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3.2617795059807202E-7</v>
      </c>
      <c r="J1897" s="1" cm="1">
        <f t="array" ref="J1897">SUMPRODUCT(([1]OUT_FinalEnergyCons!$B$4:$B$10000="Var_cap")*1, (ISNUMBER(SEARCH("SCOM-SHH2BR",[1]OUT_FinalEnergyCons!$A$4:$A$10000)))*1,[1]OUT_FinalEnergyCons!H$4:H$10000)</f>
        <v>0.75377681531688723</v>
      </c>
      <c r="K1897" s="1" cm="1">
        <f t="array" ref="K1897">SUMPRODUCT(([1]OUT_FinalEnergyCons!$B$4:$B$10000="Var_cap")*1, (ISNUMBER(SEARCH("SCOM-SHH2BR",[1]OUT_FinalEnergyCons!$A$4:$A$10000)))*1,[1]OUT_FinalEnergyCons!I$4:I$10000)</f>
        <v>0.86634782662129861</v>
      </c>
    </row>
    <row r="1898" spans="2:11" x14ac:dyDescent="0.25">
      <c r="B1898" s="5" t="str">
        <f t="shared" si="1165"/>
        <v>SPS4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4.6752579908496923</v>
      </c>
      <c r="G1898" s="3">
        <f t="shared" ref="G1898:K1898" si="1244">SUM(G1899:G1948)</f>
        <v>4.8367881084150186</v>
      </c>
      <c r="H1898" s="3">
        <f t="shared" si="1244"/>
        <v>5.0020254410147711</v>
      </c>
      <c r="I1898" s="3">
        <f t="shared" si="1244"/>
        <v>5.6277184052485421</v>
      </c>
      <c r="J1898" s="3">
        <f t="shared" si="1244"/>
        <v>5.9830467929550926</v>
      </c>
      <c r="K1898" s="3">
        <f t="shared" si="1244"/>
        <v>6.2473700337714444</v>
      </c>
    </row>
    <row r="1899" spans="2:11" x14ac:dyDescent="0.25">
      <c r="B1899" s="5" t="str">
        <f t="shared" si="1165"/>
        <v>SPS4</v>
      </c>
      <c r="C1899" s="5" t="str">
        <f t="shared" ref="C1899:C1948" si="1245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165"/>
        <v>SPS4</v>
      </c>
      <c r="C1900" s="5" t="str">
        <f t="shared" si="1245"/>
        <v>CH</v>
      </c>
      <c r="D1900" t="s">
        <v>1923</v>
      </c>
      <c r="E1900" t="str">
        <f t="shared" ref="E1900:E1948" si="1246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1.4955825406898057E-3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3.5497123572066844E-2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3.3863530689783088E-2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2.7343840474128502E-2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7.2200035608661645E-2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0.28854379122998514</v>
      </c>
    </row>
    <row r="1901" spans="2:11" x14ac:dyDescent="0.25">
      <c r="B1901" s="5" t="str">
        <f t="shared" si="1165"/>
        <v>SPS4</v>
      </c>
      <c r="C1901" s="5" t="str">
        <f t="shared" si="1245"/>
        <v>CH</v>
      </c>
      <c r="D1901" t="s">
        <v>1924</v>
      </c>
      <c r="E1901" t="str">
        <f t="shared" si="1246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7.3522262538574619E-3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1.1380250984289454E-2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0.15633696159542002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0.70251951360372433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1.7960956118690694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1.6579327145575993</v>
      </c>
    </row>
    <row r="1902" spans="2:11" x14ac:dyDescent="0.25">
      <c r="B1902" s="5" t="str">
        <f t="shared" si="1165"/>
        <v>SPS4</v>
      </c>
      <c r="C1902" s="5" t="str">
        <f t="shared" si="1245"/>
        <v>CH</v>
      </c>
      <c r="D1902" t="s">
        <v>1925</v>
      </c>
      <c r="E1902" t="str">
        <f t="shared" si="1246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4.2647733807843584E-3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6.4195857843070631E-3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8.3125035596950201E-3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0.20925087326105679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0.41886999967594352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0.3411995528019951</v>
      </c>
    </row>
    <row r="1903" spans="2:11" x14ac:dyDescent="0.25">
      <c r="B1903" s="5" t="str">
        <f t="shared" si="1165"/>
        <v>SPS4</v>
      </c>
      <c r="C1903" s="5" t="str">
        <f t="shared" si="1245"/>
        <v>CH</v>
      </c>
      <c r="D1903" t="s">
        <v>1926</v>
      </c>
      <c r="E1903" t="str">
        <f t="shared" si="1246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1.5339862767819113E-2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7.9647334844758388E-2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0.17713693530301233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0.1516105393250318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0.37299229843765719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0.70542997711457078</v>
      </c>
    </row>
    <row r="1904" spans="2:11" x14ac:dyDescent="0.25">
      <c r="B1904" s="5" t="str">
        <f t="shared" si="1165"/>
        <v>SPS4</v>
      </c>
      <c r="C1904" s="5" t="str">
        <f t="shared" si="1245"/>
        <v>CH</v>
      </c>
      <c r="D1904" t="s">
        <v>1927</v>
      </c>
      <c r="E1904" t="str">
        <f t="shared" si="1246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2.598324279031842E-5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1.3481599199918125E-4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1.544294176283067E-4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1.4033140519697279E-4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5.8884401668189134E-5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3.9304192253380501E-5</v>
      </c>
    </row>
    <row r="1905" spans="2:11" x14ac:dyDescent="0.25">
      <c r="B1905" s="5" t="str">
        <f t="shared" si="1165"/>
        <v>SPS4</v>
      </c>
      <c r="C1905" s="5" t="str">
        <f t="shared" si="1245"/>
        <v>CH</v>
      </c>
      <c r="D1905" t="s">
        <v>1928</v>
      </c>
      <c r="E1905" t="str">
        <f t="shared" si="1246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4.8854222599222256E-3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7.4866701775120423E-3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7.2645285482252804E-3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5.939782856464659E-3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1.3125919357260998E-4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8.7984662681932606E-5</v>
      </c>
    </row>
    <row r="1906" spans="2:11" x14ac:dyDescent="0.25">
      <c r="B1906" s="5" t="str">
        <f t="shared" si="1165"/>
        <v>SPS4</v>
      </c>
      <c r="C1906" s="5" t="str">
        <f t="shared" si="1245"/>
        <v>CH</v>
      </c>
      <c r="D1906" t="s">
        <v>1929</v>
      </c>
      <c r="E1906" t="str">
        <f t="shared" si="1246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4.0683150971482212E-3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1.0698355255343692E-2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7.5926126913210504E-2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6.7536918705451462E-2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1.7789050851575852E-2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8.8378958391662404E-2</v>
      </c>
    </row>
    <row r="1907" spans="2:11" x14ac:dyDescent="0.25">
      <c r="B1907" s="5" t="str">
        <f t="shared" si="1165"/>
        <v>SPS4</v>
      </c>
      <c r="C1907" s="5" t="str">
        <f t="shared" si="1245"/>
        <v>CH</v>
      </c>
      <c r="D1907" t="s">
        <v>1930</v>
      </c>
      <c r="E1907" t="str">
        <f t="shared" si="1246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7.2622782181149632E-3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1.2583515386174783E-2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1.2128471585514781E-2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9.7453562526699823E-3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1.556364761880417E-4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1.05266268945603E-4</v>
      </c>
    </row>
    <row r="1908" spans="2:11" x14ac:dyDescent="0.25">
      <c r="B1908" s="5" t="str">
        <f t="shared" ref="B1908:B1971" si="1247">B1907</f>
        <v>SPS4</v>
      </c>
      <c r="C1908" s="5" t="str">
        <f t="shared" si="1245"/>
        <v>CH</v>
      </c>
      <c r="D1908" t="s">
        <v>1931</v>
      </c>
      <c r="E1908" t="str">
        <f t="shared" si="1246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2.0512813931987837E-4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2.1865901305388329E-4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1.9339304942183339E-4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5.8982488150576912E-5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3.9553205787530902E-5</v>
      </c>
    </row>
    <row r="1909" spans="2:11" x14ac:dyDescent="0.25">
      <c r="B1909" s="5" t="str">
        <f t="shared" si="1247"/>
        <v>SPS4</v>
      </c>
      <c r="C1909" s="5" t="str">
        <f t="shared" si="1245"/>
        <v>CH</v>
      </c>
      <c r="D1909" t="s">
        <v>1932</v>
      </c>
      <c r="E1909" t="str">
        <f t="shared" si="1246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2.9030711117757864E-5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9.7248470871233919E-5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1.2497587684237726E-4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1.465440988333763E-4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9.1938043365313795E-5</v>
      </c>
    </row>
    <row r="1910" spans="2:11" x14ac:dyDescent="0.25">
      <c r="B1910" s="5" t="str">
        <f t="shared" si="1247"/>
        <v>SPS4</v>
      </c>
      <c r="C1910" s="5" t="str">
        <f t="shared" si="1245"/>
        <v>CH</v>
      </c>
      <c r="D1910" t="s">
        <v>1933</v>
      </c>
      <c r="E1910" t="str">
        <f t="shared" si="1246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7.4494482113343155E-3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3.9952583324614988E-2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0.29563665698915115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0.76416418563104604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0.62527601610122696</v>
      </c>
    </row>
    <row r="1911" spans="2:11" x14ac:dyDescent="0.25">
      <c r="B1911" s="5" t="str">
        <f t="shared" si="1247"/>
        <v>SPS4</v>
      </c>
      <c r="C1911" s="5" t="str">
        <f t="shared" si="1245"/>
        <v>CH</v>
      </c>
      <c r="D1911" t="s">
        <v>1934</v>
      </c>
      <c r="E1911" t="str">
        <f t="shared" si="1246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2.5889969142887297E-4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3.0136679682678198E-2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2.8491156574595947E-2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2.2913225551520294E-2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1.6335890799344305E-4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1.07654825369515E-4</v>
      </c>
    </row>
    <row r="1912" spans="2:11" x14ac:dyDescent="0.25">
      <c r="B1912" s="5" t="str">
        <f t="shared" si="1247"/>
        <v>SPS4</v>
      </c>
      <c r="C1912" s="5" t="str">
        <f t="shared" si="1245"/>
        <v>CH</v>
      </c>
      <c r="D1912" t="s">
        <v>1935</v>
      </c>
      <c r="E1912" t="str">
        <f t="shared" si="1246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3.0087371653889098E-6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9.1989600965771501E-6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1.34465969603818E-5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8.1559021825157807E-5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3.8700735410130076E-5</v>
      </c>
    </row>
    <row r="1913" spans="2:11" x14ac:dyDescent="0.25">
      <c r="B1913" s="5" t="str">
        <f t="shared" si="1247"/>
        <v>SPS4</v>
      </c>
      <c r="C1913" s="5" t="str">
        <f t="shared" si="1245"/>
        <v>CH</v>
      </c>
      <c r="D1913" t="s">
        <v>1936</v>
      </c>
      <c r="E1913" t="str">
        <f t="shared" si="1246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6.2058881713621817E-6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8.0932965044138308E-6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1.211936408193817E-5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1.44594924792314E-5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2.36216378129298E-5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1.49492922587046E-5</v>
      </c>
    </row>
    <row r="1914" spans="2:11" x14ac:dyDescent="0.25">
      <c r="B1914" s="5" t="str">
        <f t="shared" si="1247"/>
        <v>SPS4</v>
      </c>
      <c r="C1914" s="5" t="str">
        <f t="shared" si="1245"/>
        <v>CH</v>
      </c>
      <c r="D1914" t="s">
        <v>1937</v>
      </c>
      <c r="E1914" t="str">
        <f t="shared" si="1246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5.3448244094849253E-5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1.0950950331792485E-4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1.0725912576879419E-4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9.2903503072806884E-5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1.7582170874489798E-5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1.3170515900233901E-5</v>
      </c>
    </row>
    <row r="1915" spans="2:11" x14ac:dyDescent="0.25">
      <c r="B1915" s="5" t="str">
        <f t="shared" si="1247"/>
        <v>SPS4</v>
      </c>
      <c r="C1915" s="5" t="str">
        <f t="shared" si="1245"/>
        <v>CH</v>
      </c>
      <c r="D1915" t="s">
        <v>1938</v>
      </c>
      <c r="E1915" t="str">
        <f t="shared" si="1246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2.2413530947390101E-6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6.34070989291239E-6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9.7289914990496202E-6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5.2738745769062501E-5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1.52388801305228E-4</v>
      </c>
    </row>
    <row r="1916" spans="2:11" x14ac:dyDescent="0.25">
      <c r="B1916" s="5" t="str">
        <f t="shared" si="1247"/>
        <v>SPS4</v>
      </c>
      <c r="C1916" s="5" t="str">
        <f t="shared" si="1245"/>
        <v>CH</v>
      </c>
      <c r="D1916" t="s">
        <v>1939</v>
      </c>
      <c r="E1916" t="str">
        <f t="shared" si="1246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247"/>
        <v>SPS4</v>
      </c>
      <c r="C1917" s="5" t="str">
        <f t="shared" si="1245"/>
        <v>CH</v>
      </c>
      <c r="D1917" t="s">
        <v>1940</v>
      </c>
      <c r="E1917" t="str">
        <f t="shared" si="1246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5.6686661527510481E-3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6.5779953120156318E-3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5.9808072031747171E-2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5.2187800115051849E-2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0.12357271965750966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4.8549914066795784E-2</v>
      </c>
    </row>
    <row r="1918" spans="2:11" x14ac:dyDescent="0.25">
      <c r="B1918" s="5" t="str">
        <f t="shared" si="1247"/>
        <v>SPS4</v>
      </c>
      <c r="C1918" s="5" t="str">
        <f t="shared" si="1245"/>
        <v>CH</v>
      </c>
      <c r="D1918" t="s">
        <v>1941</v>
      </c>
      <c r="E1918" t="str">
        <f t="shared" si="1246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1.7226747882705781E-2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2.9472941242769439E-2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4.2159008497539709E-2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3.4933719284659839E-2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6.2868646551311219E-2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0.1080338671742405</v>
      </c>
    </row>
    <row r="1919" spans="2:11" x14ac:dyDescent="0.25">
      <c r="B1919" s="5" t="str">
        <f t="shared" si="1247"/>
        <v>SPS4</v>
      </c>
      <c r="C1919" s="5" t="str">
        <f t="shared" si="1245"/>
        <v>CH</v>
      </c>
      <c r="D1919" t="s">
        <v>1942</v>
      </c>
      <c r="E1919" t="str">
        <f t="shared" si="1246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1.424847736615998E-2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0.24696937420766496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0.23328650296601761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0.18778869578096707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1.0981965528035167E-4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5.1149235902848201E-5</v>
      </c>
    </row>
    <row r="1920" spans="2:11" x14ac:dyDescent="0.25">
      <c r="B1920" s="5" t="str">
        <f t="shared" si="1247"/>
        <v>SPS4</v>
      </c>
      <c r="C1920" s="5" t="str">
        <f t="shared" si="1245"/>
        <v>CH</v>
      </c>
      <c r="D1920" t="s">
        <v>1943</v>
      </c>
      <c r="E1920" t="str">
        <f t="shared" si="1246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8.3201089387841924E-3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1.4141290336427026E-2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1.365382911026806E-2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0.16159479601433541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0.2498832340207402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0.27979949787812164</v>
      </c>
    </row>
    <row r="1921" spans="2:11" x14ac:dyDescent="0.25">
      <c r="B1921" s="5" t="str">
        <f t="shared" si="1247"/>
        <v>SPS4</v>
      </c>
      <c r="C1921" s="5" t="str">
        <f t="shared" si="1245"/>
        <v>CH</v>
      </c>
      <c r="D1921" t="s">
        <v>1944</v>
      </c>
      <c r="E1921" t="str">
        <f t="shared" si="1246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1.662882483694081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0.83144209957745607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247"/>
        <v>SPS4</v>
      </c>
      <c r="C1922" s="5" t="str">
        <f t="shared" si="1245"/>
        <v>CH</v>
      </c>
      <c r="D1922" t="s">
        <v>1945</v>
      </c>
      <c r="E1922" t="str">
        <f t="shared" si="1246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3.6541121188918307E-2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3.9758908056583726E-2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3.9606982561651946E-2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3.0399572309120753E-2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7.9243593724216493E-5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1.8827844990502293E-5</v>
      </c>
    </row>
    <row r="1923" spans="2:11" x14ac:dyDescent="0.25">
      <c r="B1923" s="5" t="str">
        <f t="shared" si="1247"/>
        <v>SPS4</v>
      </c>
      <c r="C1923" s="5" t="str">
        <f t="shared" si="1245"/>
        <v>CH</v>
      </c>
      <c r="D1923" t="s">
        <v>1946</v>
      </c>
      <c r="E1923" t="str">
        <f t="shared" si="1246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0.21743034832656752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0.2433751187058921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0.24052807620071828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0.19013614703984286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1.2966160000715078E-4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2.6346088292675402E-5</v>
      </c>
    </row>
    <row r="1924" spans="2:11" x14ac:dyDescent="0.25">
      <c r="B1924" s="5" t="str">
        <f t="shared" si="1247"/>
        <v>SPS4</v>
      </c>
      <c r="C1924" s="5" t="str">
        <f t="shared" si="1245"/>
        <v>CH</v>
      </c>
      <c r="D1924" t="s">
        <v>1947</v>
      </c>
      <c r="E1924" t="str">
        <f t="shared" si="1246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0.18201184964791639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0.20365687976770597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0.24710065334536838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0.2038884062242094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4.0599594856304318E-3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3.7319964677452401E-5</v>
      </c>
    </row>
    <row r="1925" spans="2:11" x14ac:dyDescent="0.25">
      <c r="B1925" s="5" t="str">
        <f t="shared" si="1247"/>
        <v>SPS4</v>
      </c>
      <c r="C1925" s="5" t="str">
        <f t="shared" si="1245"/>
        <v>CH</v>
      </c>
      <c r="D1925" t="s">
        <v>1948</v>
      </c>
      <c r="E1925" t="str">
        <f t="shared" si="1246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0.15697603643700642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0.17916763731521659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0.45279927243271922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1.0058662029703636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1.4083810735177431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1.41250489302403</v>
      </c>
    </row>
    <row r="1926" spans="2:11" x14ac:dyDescent="0.25">
      <c r="B1926" s="5" t="str">
        <f t="shared" si="1247"/>
        <v>SPS4</v>
      </c>
      <c r="C1926" s="5" t="str">
        <f t="shared" si="1245"/>
        <v>CH</v>
      </c>
      <c r="D1926" t="s">
        <v>1949</v>
      </c>
      <c r="E1926" t="str">
        <f t="shared" si="1246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4.3426076274979702E-6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5.3269105513152101E-2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4.6955728103354799E-2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4.6122800075625702E-3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2.5094518348217299E-5</v>
      </c>
    </row>
    <row r="1927" spans="2:11" x14ac:dyDescent="0.25">
      <c r="B1927" s="5" t="str">
        <f t="shared" si="1247"/>
        <v>SPS4</v>
      </c>
      <c r="C1927" s="5" t="str">
        <f t="shared" si="1245"/>
        <v>CH</v>
      </c>
      <c r="D1927" t="s">
        <v>1950</v>
      </c>
      <c r="E1927" t="str">
        <f t="shared" si="1246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2.44324519474071E-6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4.6742053111726199E-5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1.33573797614544E-4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9.2205816826938596E-5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2.47837624024993E-5</v>
      </c>
    </row>
    <row r="1928" spans="2:11" x14ac:dyDescent="0.25">
      <c r="B1928" s="5" t="str">
        <f t="shared" si="1247"/>
        <v>SPS4</v>
      </c>
      <c r="C1928" s="5" t="str">
        <f t="shared" si="1245"/>
        <v>CH</v>
      </c>
      <c r="D1928" t="s">
        <v>1951</v>
      </c>
      <c r="E1928" t="str">
        <f t="shared" si="1246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2.32094054057072E-6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3.3318875910908497E-5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8.4056657813182597E-5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7.3530878150708897E-5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2.7046236697093899E-5</v>
      </c>
    </row>
    <row r="1929" spans="2:11" x14ac:dyDescent="0.25">
      <c r="B1929" s="5" t="str">
        <f t="shared" si="1247"/>
        <v>SPS4</v>
      </c>
      <c r="C1929" s="5" t="str">
        <f t="shared" si="1245"/>
        <v>CH</v>
      </c>
      <c r="D1929" t="s">
        <v>1952</v>
      </c>
      <c r="E1929" t="str">
        <f t="shared" si="1246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3.2570756024983899E-6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7.9418721776739604E-5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0.15023217062488001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0.24982973295005401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0.27970468689684902</v>
      </c>
    </row>
    <row r="1930" spans="2:11" x14ac:dyDescent="0.25">
      <c r="B1930" s="5" t="str">
        <f t="shared" si="1247"/>
        <v>SPS4</v>
      </c>
      <c r="C1930" s="5" t="str">
        <f t="shared" si="1245"/>
        <v>CH</v>
      </c>
      <c r="D1930" t="s">
        <v>1953</v>
      </c>
      <c r="E1930" t="str">
        <f t="shared" si="1246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247"/>
        <v>SPS4</v>
      </c>
      <c r="C1931" s="5" t="str">
        <f t="shared" si="1245"/>
        <v>CH</v>
      </c>
      <c r="D1931" t="s">
        <v>1954</v>
      </c>
      <c r="E1931" t="str">
        <f t="shared" si="1246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2.9396740435182833E-5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3.7330989928153591E-2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0.17379998440816058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0.16418325332410486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3.4744209882172833E-2</v>
      </c>
    </row>
    <row r="1932" spans="2:11" x14ac:dyDescent="0.25">
      <c r="B1932" s="5" t="str">
        <f t="shared" si="1247"/>
        <v>SPS4</v>
      </c>
      <c r="C1932" s="5" t="str">
        <f t="shared" si="1245"/>
        <v>CH</v>
      </c>
      <c r="D1932" t="s">
        <v>1955</v>
      </c>
      <c r="E1932" t="str">
        <f t="shared" si="1246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2.5977706532458167E-4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0.13844351037411881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0.20838859173673782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0.17534898266568927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4.3945063493573439E-2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0.13743263853971252</v>
      </c>
    </row>
    <row r="1933" spans="2:11" x14ac:dyDescent="0.25">
      <c r="B1933" s="5" t="str">
        <f t="shared" si="1247"/>
        <v>SPS4</v>
      </c>
      <c r="C1933" s="5" t="str">
        <f t="shared" si="1245"/>
        <v>CH</v>
      </c>
      <c r="D1933" t="s">
        <v>1956</v>
      </c>
      <c r="E1933" t="str">
        <f t="shared" si="1246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1.8561673006958622E-3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3.6976205557796133E-3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3.5657366684812525E-3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2.8820140366835438E-2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8.3385148891733832E-2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0.11930767455009585</v>
      </c>
    </row>
    <row r="1934" spans="2:11" x14ac:dyDescent="0.25">
      <c r="B1934" s="5" t="str">
        <f t="shared" si="1247"/>
        <v>SPS4</v>
      </c>
      <c r="C1934" s="5" t="str">
        <f t="shared" si="1245"/>
        <v>CH</v>
      </c>
      <c r="D1934" t="s">
        <v>1957</v>
      </c>
      <c r="E1934" t="str">
        <f t="shared" si="1246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3.7727650740163963E-3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8.8499004537794593E-3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8.4671852270486788E-3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7.1187298421018196E-3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9.265397147360628E-5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1.215969480139203E-4</v>
      </c>
    </row>
    <row r="1935" spans="2:11" x14ac:dyDescent="0.25">
      <c r="B1935" s="5" t="str">
        <f t="shared" si="1247"/>
        <v>SPS4</v>
      </c>
      <c r="C1935" s="5" t="str">
        <f t="shared" si="1245"/>
        <v>CH</v>
      </c>
      <c r="D1935" t="s">
        <v>1958</v>
      </c>
      <c r="E1935" t="str">
        <f t="shared" si="1246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0.70637039551340952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0.35318554147000447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247"/>
        <v>SPS4</v>
      </c>
      <c r="C1936" s="5" t="str">
        <f t="shared" si="1245"/>
        <v>CH</v>
      </c>
      <c r="D1936" t="s">
        <v>1959</v>
      </c>
      <c r="E1936" t="str">
        <f t="shared" si="1246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4.4450875475569087E-4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4.7936583065153414E-4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5.1565960801610254E-4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3.8749635384258612E-4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3.2957089370900874E-5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1.2094400771267236E-5</v>
      </c>
    </row>
    <row r="1937" spans="2:11" x14ac:dyDescent="0.25">
      <c r="B1937" s="5" t="str">
        <f t="shared" si="1247"/>
        <v>SPS4</v>
      </c>
      <c r="C1937" s="5" t="str">
        <f t="shared" si="1245"/>
        <v>CH</v>
      </c>
      <c r="D1937" t="s">
        <v>1960</v>
      </c>
      <c r="E1937" t="str">
        <f t="shared" si="1246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6.4568231011572372E-2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6.8508325547172261E-2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6.791532612156774E-2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5.1505115144002044E-2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3.1168914794830419E-5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1.20627757857915E-5</v>
      </c>
    </row>
    <row r="1938" spans="2:11" x14ac:dyDescent="0.25">
      <c r="B1938" s="5" t="str">
        <f t="shared" si="1247"/>
        <v>SPS4</v>
      </c>
      <c r="C1938" s="5" t="str">
        <f t="shared" si="1245"/>
        <v>CH</v>
      </c>
      <c r="D1938" t="s">
        <v>1961</v>
      </c>
      <c r="E1938" t="str">
        <f t="shared" si="1246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0.18324100868212467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0.19499947682111832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0.19298471169377884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0.14995296100140215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2.8905031003156011E-5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1.2891085730371801E-5</v>
      </c>
    </row>
    <row r="1939" spans="2:11" x14ac:dyDescent="0.25">
      <c r="B1939" s="5" t="str">
        <f t="shared" si="1247"/>
        <v>SPS4</v>
      </c>
      <c r="C1939" s="5" t="str">
        <f t="shared" si="1245"/>
        <v>CH</v>
      </c>
      <c r="D1939" t="s">
        <v>1962</v>
      </c>
      <c r="E1939" t="str">
        <f t="shared" si="1246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7.1261796290192192E-2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7.9338675619825258E-2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7.8211603839825936E-2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6.106614777262518E-2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1.8200856526382272E-5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9.35724505837846E-6</v>
      </c>
    </row>
    <row r="1940" spans="2:11" x14ac:dyDescent="0.25">
      <c r="B1940" s="5" t="str">
        <f t="shared" si="1247"/>
        <v>SPS4</v>
      </c>
      <c r="C1940" s="5" t="str">
        <f t="shared" si="1245"/>
        <v>CH</v>
      </c>
      <c r="D1940" t="s">
        <v>1963</v>
      </c>
      <c r="E1940" t="str">
        <f t="shared" si="1246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4.68928207422917E-6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3.7213312407992701E-2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0.173674240715921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6.0267186822604797E-2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6.8978180629955399E-5</v>
      </c>
    </row>
    <row r="1941" spans="2:11" x14ac:dyDescent="0.25">
      <c r="B1941" s="5" t="str">
        <f t="shared" si="1247"/>
        <v>SPS4</v>
      </c>
      <c r="C1941" s="5" t="str">
        <f t="shared" si="1245"/>
        <v>CH</v>
      </c>
      <c r="D1941" t="s">
        <v>1964</v>
      </c>
      <c r="E1941" t="str">
        <f t="shared" si="1246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2.6112072072319601E-6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4.4335421683476597E-5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2.1020713615310799E-3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9.4849402056117497E-4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5.2627810147543102E-5</v>
      </c>
    </row>
    <row r="1942" spans="2:11" x14ac:dyDescent="0.25">
      <c r="B1942" s="5" t="str">
        <f t="shared" si="1247"/>
        <v>SPS4</v>
      </c>
      <c r="C1942" s="5" t="str">
        <f t="shared" si="1245"/>
        <v>CH</v>
      </c>
      <c r="D1942" t="s">
        <v>1965</v>
      </c>
      <c r="E1942" t="str">
        <f t="shared" si="1246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2.4553652747450801E-6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3.2027189345550798E-5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2.6003618524673901E-2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8.3349048789340893E-2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0.11928352092321</v>
      </c>
    </row>
    <row r="1943" spans="2:11" x14ac:dyDescent="0.25">
      <c r="B1943" s="5" t="str">
        <f t="shared" si="1247"/>
        <v>SPS4</v>
      </c>
      <c r="C1943" s="5" t="str">
        <f t="shared" si="1245"/>
        <v>CH</v>
      </c>
      <c r="D1943" t="s">
        <v>1966</v>
      </c>
      <c r="E1943" t="str">
        <f t="shared" si="1246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2.45252670450153E-6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1.45005337611999E-5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2.5974006032433199E-5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3.9033534326259403E-5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2.4788124555545501E-5</v>
      </c>
    </row>
    <row r="1944" spans="2:11" x14ac:dyDescent="0.25">
      <c r="B1944" s="5" t="str">
        <f t="shared" si="1247"/>
        <v>SPS4</v>
      </c>
      <c r="C1944" s="5" t="str">
        <f t="shared" si="1245"/>
        <v>CH</v>
      </c>
      <c r="D1944" t="s">
        <v>1967</v>
      </c>
      <c r="E1944" t="str">
        <f t="shared" si="1246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247"/>
        <v>SPS4</v>
      </c>
      <c r="C1945" s="5" t="str">
        <f t="shared" si="1245"/>
        <v>CH</v>
      </c>
      <c r="D1945" t="s">
        <v>1968</v>
      </c>
      <c r="E1945" t="str">
        <f t="shared" si="1246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2.5569237256064256E-4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5.0306932374972845E-5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5.18568382735166E-5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1.2401352910350728E-5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4.1120742936420372E-6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2.719510236720683E-6</v>
      </c>
    </row>
    <row r="1946" spans="2:11" x14ac:dyDescent="0.25">
      <c r="B1946" s="5" t="str">
        <f t="shared" si="1247"/>
        <v>SPS4</v>
      </c>
      <c r="C1946" s="5" t="str">
        <f t="shared" si="1245"/>
        <v>CH</v>
      </c>
      <c r="D1946" t="s">
        <v>1969</v>
      </c>
      <c r="E1946" t="str">
        <f t="shared" si="1246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1.6315680883684798E-3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1.3313294402685749E-3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1.306017851163518E-3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4.9317210083464624E-6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5.6783628045375465E-6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3.7453216191983384E-6</v>
      </c>
    </row>
    <row r="1947" spans="2:11" x14ac:dyDescent="0.25">
      <c r="B1947" s="5" t="str">
        <f t="shared" si="1247"/>
        <v>SPS4</v>
      </c>
      <c r="C1947" s="5" t="str">
        <f t="shared" si="1245"/>
        <v>CH</v>
      </c>
      <c r="D1947" t="s">
        <v>1970</v>
      </c>
      <c r="E1947" t="str">
        <f t="shared" si="1246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1.4822680441509974E-4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5.8550180879927762E-5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5.9286483229484803E-5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1.6729382957092912E-5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1.0353669467820248E-5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8.4568537256820996E-6</v>
      </c>
    </row>
    <row r="1948" spans="2:11" x14ac:dyDescent="0.25">
      <c r="B1948" s="5" t="str">
        <f t="shared" si="1247"/>
        <v>SPS4</v>
      </c>
      <c r="C1948" s="5" t="str">
        <f t="shared" si="1245"/>
        <v>CH</v>
      </c>
      <c r="D1948" t="s">
        <v>1971</v>
      </c>
      <c r="E1948" t="str">
        <f t="shared" si="1246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2.5347410931258322E-3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2.3610514594399781E-3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3.7580578370242056E-6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1.2077157928749112E-5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1.7324188313555971E-5</v>
      </c>
    </row>
    <row r="1949" spans="2:11" x14ac:dyDescent="0.25">
      <c r="B1949" s="5" t="str">
        <f t="shared" si="1247"/>
        <v>SPS4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5.7092203133871458</v>
      </c>
      <c r="G1949" s="3">
        <f t="shared" ref="G1949:K1949" si="1248">SUM(G1950:G1972)</f>
        <v>5.7065832382030885</v>
      </c>
      <c r="H1949" s="3">
        <f t="shared" si="1248"/>
        <v>5.8293728011823971</v>
      </c>
      <c r="I1949" s="3">
        <f t="shared" si="1248"/>
        <v>6.4146095911232717</v>
      </c>
      <c r="J1949" s="3">
        <f t="shared" si="1248"/>
        <v>6.9849076812307906</v>
      </c>
      <c r="K1949" s="3">
        <f t="shared" si="1248"/>
        <v>7.6442421640061218</v>
      </c>
    </row>
    <row r="1950" spans="2:11" x14ac:dyDescent="0.25">
      <c r="B1950" s="5" t="str">
        <f t="shared" si="1247"/>
        <v>SPS4</v>
      </c>
      <c r="C1950" s="5" t="str">
        <f t="shared" ref="C1950:C1972" si="1249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247"/>
        <v>SPS4</v>
      </c>
      <c r="C1951" s="5" t="str">
        <f t="shared" si="1249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5.5802733442104442E-3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1.3611302866024758E-2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2.3981821936245313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2.6140171206501401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2.9690740920723959</v>
      </c>
    </row>
    <row r="1952" spans="2:11" x14ac:dyDescent="0.25">
      <c r="B1952" s="5" t="str">
        <f t="shared" si="1247"/>
        <v>SPS4</v>
      </c>
      <c r="C1952" s="5" t="str">
        <f t="shared" si="1249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1.2271834798420761E-2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1.64525315748579E-2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0.74712806208401172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0.81263487653383693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0.86953512769443508</v>
      </c>
    </row>
    <row r="1953" spans="2:11" x14ac:dyDescent="0.25">
      <c r="B1953" s="5" t="str">
        <f t="shared" si="1247"/>
        <v>SPS4</v>
      </c>
      <c r="C1953" s="5" t="str">
        <f t="shared" si="1249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1.71681889377393E-2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3.0561885096708472E-2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3.141619334800938E-2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1.7616108825614218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1.5045508135140899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1.09341262429438</v>
      </c>
    </row>
    <row r="1954" spans="2:11" x14ac:dyDescent="0.25">
      <c r="B1954" s="5" t="str">
        <f t="shared" si="1247"/>
        <v>SPS4</v>
      </c>
      <c r="C1954" s="5" t="str">
        <f t="shared" si="1249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3.0250632514898295E-4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2.1780464060765296E-4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2.9766708680393703E-4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1.5573903941700981E-4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2.2010136354582295E-4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1.0137073336521201E-4</v>
      </c>
    </row>
    <row r="1955" spans="2:11" x14ac:dyDescent="0.25">
      <c r="B1955" s="5" t="str">
        <f t="shared" si="1247"/>
        <v>SPS4</v>
      </c>
      <c r="C1955" s="5" t="str">
        <f t="shared" si="1249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1.43510194954899E-4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1.9580474855516181E-4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1.9573128022590001E-4</v>
      </c>
    </row>
    <row r="1956" spans="2:11" x14ac:dyDescent="0.25">
      <c r="B1956" s="5" t="str">
        <f t="shared" si="1247"/>
        <v>SPS4</v>
      </c>
      <c r="C1956" s="5" t="str">
        <f t="shared" si="1249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8.4153736375493804E-5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1.3201040285533598E-4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1.2376907269858302E-4</v>
      </c>
    </row>
    <row r="1957" spans="2:11" x14ac:dyDescent="0.25">
      <c r="B1957" s="5" t="str">
        <f t="shared" si="1247"/>
        <v>SPS4</v>
      </c>
      <c r="C1957" s="5" t="str">
        <f t="shared" si="1249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2.1222190190343102E-4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1.06083194681589E-4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1.0900094289026099E-4</v>
      </c>
    </row>
    <row r="1958" spans="2:11" x14ac:dyDescent="0.25">
      <c r="B1958" s="5" t="str">
        <f t="shared" si="1247"/>
        <v>SPS4</v>
      </c>
      <c r="C1958" s="5" t="str">
        <f t="shared" si="1249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247"/>
        <v>SPS4</v>
      </c>
      <c r="C1959" s="5" t="str">
        <f t="shared" si="1249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0.65713499058330105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0.65779586346434604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5.320594168439774E-4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1.3628674178462776E-3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1.2075770111200301E-3</v>
      </c>
    </row>
    <row r="1960" spans="2:11" x14ac:dyDescent="0.25">
      <c r="B1960" s="5" t="str">
        <f t="shared" si="1247"/>
        <v>SPS4</v>
      </c>
      <c r="C1960" s="5" t="str">
        <f t="shared" si="1249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1.1237681480028799E-2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1.15281279061048E-2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5.910489224222402E-4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9.7605270217599989E-4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7.4015928098241095E-4</v>
      </c>
    </row>
    <row r="1961" spans="2:11" x14ac:dyDescent="0.25">
      <c r="B1961" s="5" t="str">
        <f t="shared" si="1247"/>
        <v>SPS4</v>
      </c>
      <c r="C1961" s="5" t="str">
        <f t="shared" si="1249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6.5197970253868309E-2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0.88590514035831691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1.5058246819016599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2.0506642428399098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2.7096856537598897</v>
      </c>
    </row>
    <row r="1962" spans="2:11" x14ac:dyDescent="0.25">
      <c r="B1962" s="5" t="str">
        <f t="shared" si="1247"/>
        <v>SPS4</v>
      </c>
      <c r="C1962" s="5" t="str">
        <f t="shared" si="1249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6.8552047596947703E-6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25">
      <c r="B1963" s="5" t="str">
        <f t="shared" si="1247"/>
        <v>SPS4</v>
      </c>
      <c r="C1963" s="5" t="str">
        <f t="shared" si="1249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247"/>
        <v>SPS4</v>
      </c>
      <c r="C1964" s="5" t="str">
        <f t="shared" si="1249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1.6368234079906869E-3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0.51261622962192244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1.1350850679129817E-4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2.6499073079491099E-5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2.8840612563054E-5</v>
      </c>
    </row>
    <row r="1965" spans="2:11" x14ac:dyDescent="0.25">
      <c r="B1965" s="5" t="str">
        <f t="shared" si="1247"/>
        <v>SPS4</v>
      </c>
      <c r="C1965" s="5" t="str">
        <f t="shared" si="1249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0.18449218157710573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0.21839862471701987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0.36973245878417782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-3.7860093859889282E-6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-1.81093109133056E-6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25">
      <c r="B1966" s="5" t="str">
        <f t="shared" si="1247"/>
        <v>SPS4</v>
      </c>
      <c r="C1966" s="5" t="str">
        <f t="shared" si="1249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0.80665498602382657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0.95257715133384124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0.9527949058707772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-5.0000831089999469E-6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-1.28506444643625E-5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25">
      <c r="B1967" s="5" t="str">
        <f t="shared" si="1247"/>
        <v>SPS4</v>
      </c>
      <c r="C1967" s="5" t="str">
        <f t="shared" si="1249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2.7437516208620189E-3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6.4014620540992141E-6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4.808699327980987E-5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-1.5153402649789711E-6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-6.85544855547327E-6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25">
      <c r="B1968" s="5" t="str">
        <f t="shared" si="1247"/>
        <v>SPS4</v>
      </c>
      <c r="C1968" s="5" t="str">
        <f t="shared" si="1249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247"/>
        <v>SPS4</v>
      </c>
      <c r="C1969" s="5" t="str">
        <f t="shared" si="1249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2.3030097329081398E-4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1.93190969717489E-3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2.5811462693669905E-5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3.5870609424767399E-5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2.8217251176193398E-5</v>
      </c>
    </row>
    <row r="1970" spans="2:11" x14ac:dyDescent="0.25">
      <c r="B1970" s="5" t="str">
        <f t="shared" si="1247"/>
        <v>SPS4</v>
      </c>
      <c r="C1970" s="5" t="str">
        <f t="shared" si="1249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1.22566956144216E-4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3.0449954493382302E-2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6.9649439552986751E-6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0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</v>
      </c>
    </row>
    <row r="1971" spans="2:11" x14ac:dyDescent="0.25">
      <c r="B1971" s="5" t="str">
        <f t="shared" si="1247"/>
        <v>SPS4</v>
      </c>
      <c r="C1971" s="5" t="str">
        <f t="shared" si="1249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4.7989724211863497E-5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1.9184197259266702E-4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9.0542590501420044E-6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</v>
      </c>
    </row>
    <row r="1972" spans="2:11" x14ac:dyDescent="0.25">
      <c r="B1972" s="5" t="str">
        <f t="shared" ref="B1972:B2035" si="1250">B1971</f>
        <v>SPS4</v>
      </c>
      <c r="C1972" s="5" t="str">
        <f t="shared" si="1249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 t="shared" si="1250"/>
        <v>SPS4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2.8466240692495708</v>
      </c>
      <c r="G1973" s="3">
        <f t="shared" ref="G1973" si="1251">SUM(G1974:G1996)</f>
        <v>3.0651247122189171</v>
      </c>
      <c r="H1973" s="3">
        <f t="shared" ref="H1973" si="1252">SUM(H1974:H1996)</f>
        <v>2.8854895059941748</v>
      </c>
      <c r="I1973" s="3">
        <f t="shared" ref="I1973" si="1253">SUM(I1974:I1996)</f>
        <v>2.9561712620348031</v>
      </c>
      <c r="J1973" s="3">
        <f t="shared" ref="J1973" si="1254">SUM(J1974:J1996)</f>
        <v>2.9630473658088152</v>
      </c>
      <c r="K1973" s="3">
        <f t="shared" ref="K1973" si="1255">SUM(K1974:K1996)</f>
        <v>2.9786383748810481</v>
      </c>
    </row>
    <row r="1974" spans="2:11" x14ac:dyDescent="0.25">
      <c r="B1974" s="5" t="str">
        <f t="shared" si="1250"/>
        <v>SPS4</v>
      </c>
      <c r="C1974" s="5" t="str">
        <f t="shared" ref="C1974:C1996" si="1256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250"/>
        <v>SPS4</v>
      </c>
      <c r="C1975" s="5" t="str">
        <f t="shared" si="1256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3.3599481162150239E-3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4.9361622915552834E-3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4.4752303633651697E-3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1.4389827926401864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1.4359610736989479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1.4952126672159687</v>
      </c>
    </row>
    <row r="1976" spans="2:11" x14ac:dyDescent="0.25">
      <c r="B1976" s="5" t="str">
        <f t="shared" si="1250"/>
        <v>SPS4</v>
      </c>
      <c r="C1976" s="5" t="str">
        <f t="shared" si="1256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5.7751643439749607E-3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1.2519912578520828E-2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1.3236633784737821E-2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0.49845667113856973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0.4997845851108858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0.44260367587677901</v>
      </c>
    </row>
    <row r="1977" spans="2:11" x14ac:dyDescent="0.25">
      <c r="B1977" s="5" t="str">
        <f t="shared" si="1250"/>
        <v>SPS4</v>
      </c>
      <c r="C1977" s="5" t="str">
        <f t="shared" si="1256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1.21779895405538E-3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2.6559907539001372E-3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2.8715852259780998E-3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2.3275582827395128E-3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4.1048232459801205E-3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2.3600897534937801E-3</v>
      </c>
    </row>
    <row r="1978" spans="2:11" x14ac:dyDescent="0.25">
      <c r="B1978" s="5" t="str">
        <f t="shared" si="1250"/>
        <v>SPS4</v>
      </c>
      <c r="C1978" s="5" t="str">
        <f t="shared" si="1256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7.6948765960944799E-5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1.5375270806097899E-4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1.6113620886986491E-4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2.5438132996678868E-4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9.6946269418124207E-5</v>
      </c>
    </row>
    <row r="1979" spans="2:11" x14ac:dyDescent="0.25">
      <c r="B1979" s="5" t="str">
        <f t="shared" si="1250"/>
        <v>SPS4</v>
      </c>
      <c r="C1979" s="5" t="str">
        <f t="shared" si="1256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1.02000202129919E-4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6.8421631452467206E-5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7.5634556952758599E-5</v>
      </c>
    </row>
    <row r="1980" spans="2:11" x14ac:dyDescent="0.25">
      <c r="B1980" s="5" t="str">
        <f t="shared" si="1250"/>
        <v>SPS4</v>
      </c>
      <c r="C1980" s="5" t="str">
        <f t="shared" si="1256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9.8506841274931996E-5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9.2071872268230051E-5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8.5715625129848889E-5</v>
      </c>
    </row>
    <row r="1981" spans="2:11" x14ac:dyDescent="0.25">
      <c r="B1981" s="5" t="str">
        <f t="shared" si="1250"/>
        <v>SPS4</v>
      </c>
      <c r="C1981" s="5" t="str">
        <f t="shared" si="1256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6.3679990861015197E-5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8.9486629190663902E-5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8.0314842818699099E-5</v>
      </c>
    </row>
    <row r="1982" spans="2:11" x14ac:dyDescent="0.25">
      <c r="B1982" s="5" t="str">
        <f t="shared" si="1250"/>
        <v>SPS4</v>
      </c>
      <c r="C1982" s="5" t="str">
        <f t="shared" si="1256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1.05552258747172E-5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250"/>
        <v>SPS4</v>
      </c>
      <c r="C1983" s="5" t="str">
        <f t="shared" si="1256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0.84401721976717503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0.84493598759977606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2.3458818492429938E-3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8.4910734766458391E-3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5.4960720866715192E-3</v>
      </c>
    </row>
    <row r="1984" spans="2:11" x14ac:dyDescent="0.25">
      <c r="B1984" s="5" t="str">
        <f t="shared" si="1250"/>
        <v>SPS4</v>
      </c>
      <c r="C1984" s="5" t="str">
        <f t="shared" si="1256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1.7820720158635E-3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1.71232657284686E-2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0.74911047635280104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0.75078572016279133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0.77463973982206802</v>
      </c>
    </row>
    <row r="1985" spans="2:11" x14ac:dyDescent="0.25">
      <c r="B1985" s="5" t="str">
        <f t="shared" si="1250"/>
        <v>SPS4</v>
      </c>
      <c r="C1985" s="5" t="str">
        <f t="shared" si="1256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4.4097916459679201E-4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2.3102653527568603E-3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0.264474441944062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0.26329466124995698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0.25791261527350501</v>
      </c>
    </row>
    <row r="1986" spans="2:11" x14ac:dyDescent="0.25">
      <c r="B1986" s="5" t="str">
        <f t="shared" si="1250"/>
        <v>SPS4</v>
      </c>
      <c r="C1986" s="5" t="str">
        <f t="shared" si="1256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1.7632057193820101E-5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3.8306403570912795E-5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4.03476539132642E-5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4.9653172932772703E-5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1.4641574920908599E-5</v>
      </c>
    </row>
    <row r="1987" spans="2:11" x14ac:dyDescent="0.25">
      <c r="B1987" s="5" t="str">
        <f t="shared" si="1250"/>
        <v>SPS4</v>
      </c>
      <c r="C1987" s="5" t="str">
        <f t="shared" si="1256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250"/>
        <v>SPS4</v>
      </c>
      <c r="C1988" s="5" t="str">
        <f t="shared" si="1256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1.8813096817078399E-2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0.217852352607148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-3.918024988973888E-6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1.7316683293839697E-5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2.0419628576768298E-5</v>
      </c>
    </row>
    <row r="1989" spans="2:11" x14ac:dyDescent="0.25">
      <c r="B1989" s="5" t="str">
        <f t="shared" si="1250"/>
        <v>SPS4</v>
      </c>
      <c r="C1989" s="5" t="str">
        <f t="shared" si="1256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0.9158639924106875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0.91637933479036127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-5.2893114725355989E-6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2.3828500482619499E-5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1.8495953789237398E-5</v>
      </c>
    </row>
    <row r="1990" spans="2:11" x14ac:dyDescent="0.25">
      <c r="B1990" s="5" t="str">
        <f t="shared" si="1250"/>
        <v>SPS4</v>
      </c>
      <c r="C1990" s="5" t="str">
        <f t="shared" si="1256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0.19857493950277949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0.19707183941866716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0.19724005717318457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-1.0580161765276356E-6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3.0269044019787501E-5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2.13464009548835E-5</v>
      </c>
    </row>
    <row r="1991" spans="2:11" x14ac:dyDescent="0.25">
      <c r="B1991" s="5" t="str">
        <f t="shared" si="1250"/>
        <v>SPS4</v>
      </c>
      <c r="C1991" s="5" t="str">
        <f t="shared" si="1256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1.1003912050535003E-2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3.1073340273904057E-5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7.2700527593272109E-5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-1.7631863077908093E-6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250"/>
        <v>SPS4</v>
      </c>
      <c r="C1992" s="5" t="str">
        <f t="shared" si="1256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250"/>
        <v>SPS4</v>
      </c>
      <c r="C1993" s="5" t="str">
        <f t="shared" si="1256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2.5974496801852299E-4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1.5379773700819801E-3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2.1665419729700422E-6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0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</v>
      </c>
    </row>
    <row r="1994" spans="2:11" x14ac:dyDescent="0.25">
      <c r="B1994" s="5" t="str">
        <f t="shared" si="1250"/>
        <v>SPS4</v>
      </c>
      <c r="C1994" s="5" t="str">
        <f t="shared" si="1256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1.32636408610104E-4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5.1117496216044299E-4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1.8215915407460453E-6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0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0</v>
      </c>
    </row>
    <row r="1995" spans="2:11" x14ac:dyDescent="0.25">
      <c r="B1995" s="5" t="str">
        <f t="shared" si="1250"/>
        <v>SPS4</v>
      </c>
      <c r="C1995" s="5" t="str">
        <f t="shared" si="1256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7.0797204432498999E-5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2.1415244905032899E-4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5.4697245971530001E-6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</v>
      </c>
    </row>
    <row r="1996" spans="2:11" x14ac:dyDescent="0.25">
      <c r="B1996" s="5" t="str">
        <f t="shared" si="1250"/>
        <v>SPS4</v>
      </c>
      <c r="C1996" s="5" t="str">
        <f t="shared" si="1256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1.5095037643972299E-5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-2.1561488834299996E-7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 t="shared" si="1250"/>
        <v>SPS4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399.47470855361473</v>
      </c>
      <c r="G1997" s="3">
        <f t="shared" ref="G1997:K1997" si="1257">SUM(G1998:G2006)</f>
        <v>399.40322204387832</v>
      </c>
      <c r="H1997" s="3">
        <f t="shared" si="1257"/>
        <v>407.08510513595934</v>
      </c>
      <c r="I1997" s="3">
        <f t="shared" si="1257"/>
        <v>419.89442259946816</v>
      </c>
      <c r="J1997" s="3">
        <f t="shared" si="1257"/>
        <v>467.98827492854184</v>
      </c>
      <c r="K1997" s="3">
        <f t="shared" si="1257"/>
        <v>507.10258915856747</v>
      </c>
    </row>
    <row r="1998" spans="2:11" x14ac:dyDescent="0.25">
      <c r="B1998" s="5" t="str">
        <f t="shared" si="1250"/>
        <v>SPS4</v>
      </c>
      <c r="C1998" s="5" t="str">
        <f t="shared" ref="C1998:C2006" si="1258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250"/>
        <v>SPS4</v>
      </c>
      <c r="C1999" s="5" t="str">
        <f t="shared" si="1258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1.6989257317305009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3.7656385823770417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14.069854038680099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58.367765828771468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293.02350269790077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303.28493119047994</v>
      </c>
    </row>
    <row r="2000" spans="2:11" x14ac:dyDescent="0.25">
      <c r="B2000" s="5" t="str">
        <f t="shared" si="1250"/>
        <v>SPS4</v>
      </c>
      <c r="C2000" s="5" t="str">
        <f t="shared" si="1258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2.1022474174357598E-3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4.74006339703637E-3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8.1321903935255499E-3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1.5961879794369301E-2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1.9549586820220899E-2</v>
      </c>
    </row>
    <row r="2001" spans="2:11" x14ac:dyDescent="0.25">
      <c r="B2001" s="5" t="str">
        <f t="shared" si="1250"/>
        <v>SPS4</v>
      </c>
      <c r="C2001" s="5" t="str">
        <f t="shared" si="1258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250"/>
        <v>SPS4</v>
      </c>
      <c r="C2002" s="5" t="str">
        <f t="shared" si="1258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12.434928768143955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14.129374285467684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26.508686807082601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47.565185451249988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51.27606171074261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62.092992524829455</v>
      </c>
    </row>
    <row r="2003" spans="2:11" x14ac:dyDescent="0.25">
      <c r="B2003" s="5" t="str">
        <f t="shared" si="1250"/>
        <v>SPS4</v>
      </c>
      <c r="C2003" s="5" t="str">
        <f t="shared" si="1258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250"/>
        <v>SPS4</v>
      </c>
      <c r="C2004" s="5" t="str">
        <f t="shared" si="1258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106.16889441071152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125.15952348468426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125.25791824986632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71.002645276039871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13.143026606709043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2.325796030390868</v>
      </c>
    </row>
    <row r="2005" spans="2:11" x14ac:dyDescent="0.25">
      <c r="B2005" s="5" t="str">
        <f t="shared" si="1250"/>
        <v>SPS4</v>
      </c>
      <c r="C2005" s="5" t="str">
        <f t="shared" si="1258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14.2452623307952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54.937578347252696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150.64924454615999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110.52653067461421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139.37612024089734</v>
      </c>
    </row>
    <row r="2006" spans="2:11" x14ac:dyDescent="0.25">
      <c r="B2006" s="5" t="str">
        <f t="shared" si="1250"/>
        <v>SPS4</v>
      </c>
      <c r="C2006" s="5" t="str">
        <f t="shared" si="1258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2.2769596430287891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2.12565444647006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1.7096609630139239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3.1159735200217984E-3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3.1913587808239277E-3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3.1995851496000667E-3</v>
      </c>
    </row>
    <row r="2007" spans="2:11" x14ac:dyDescent="0.25">
      <c r="B2007" s="5" t="str">
        <f t="shared" si="1250"/>
        <v>SPS4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41.455341966017471</v>
      </c>
      <c r="G2007" s="3">
        <f t="shared" ref="G2007" si="1259">SUM(G2008:G2016)</f>
        <v>42.399853123417671</v>
      </c>
      <c r="H2007" s="3">
        <f t="shared" ref="H2007" si="1260">SUM(H2008:H2016)</f>
        <v>43.496127852400861</v>
      </c>
      <c r="I2007" s="3">
        <f t="shared" ref="I2007" si="1261">SUM(I2008:I2016)</f>
        <v>45.395448256555525</v>
      </c>
      <c r="J2007" s="3">
        <f t="shared" ref="J2007" si="1262">SUM(J2008:J2016)</f>
        <v>49.352656658381179</v>
      </c>
      <c r="K2007" s="3">
        <f t="shared" ref="K2007" si="1263">SUM(K2008:K2016)</f>
        <v>53.359979762590115</v>
      </c>
    </row>
    <row r="2008" spans="2:11" x14ac:dyDescent="0.25">
      <c r="B2008" s="5" t="str">
        <f t="shared" si="1250"/>
        <v>SPS4</v>
      </c>
      <c r="C2008" s="5" t="str">
        <f t="shared" ref="C2008:C2016" si="1264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250"/>
        <v>SPS4</v>
      </c>
      <c r="C2009" s="5" t="str">
        <f t="shared" si="1264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5.0789338733324488E-2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0.10490345060765431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0.10694149094537184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2.8999990249597669E-2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3.0954231935559798E-3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1.53509089836041E-3</v>
      </c>
    </row>
    <row r="2010" spans="2:11" x14ac:dyDescent="0.25">
      <c r="B2010" s="5" t="str">
        <f t="shared" si="1250"/>
        <v>SPS4</v>
      </c>
      <c r="C2010" s="5" t="str">
        <f t="shared" si="1264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1.0576140286729301E-2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3.5308739648101982E-3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3.6039765819512988E-3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7.793655053221014E-4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4.0372507658011196E-3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4.1341509181241397E-3</v>
      </c>
    </row>
    <row r="2011" spans="2:11" x14ac:dyDescent="0.25">
      <c r="B2011" s="5" t="str">
        <f t="shared" si="1250"/>
        <v>SPS4</v>
      </c>
      <c r="C2011" s="5" t="str">
        <f t="shared" si="1264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250"/>
        <v>SPS4</v>
      </c>
      <c r="C2012" s="5" t="str">
        <f t="shared" si="1264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250"/>
        <v>SPS4</v>
      </c>
      <c r="C2013" s="5" t="str">
        <f t="shared" si="1264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250"/>
        <v>SPS4</v>
      </c>
      <c r="C2014" s="5" t="str">
        <f t="shared" si="1264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11.609976486997414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4.4574604688563113E-3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7.1974924780704441E-3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5.7101928830753934E-3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5.28477695289588E-3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1.5817755505783499E-3</v>
      </c>
    </row>
    <row r="2015" spans="2:11" x14ac:dyDescent="0.25">
      <c r="B2015" s="5" t="str">
        <f t="shared" si="1250"/>
        <v>SPS4</v>
      </c>
      <c r="C2015" s="5" t="str">
        <f t="shared" si="1264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16.5782294861467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23.602050015264698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35.470953607399899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49.338552436466799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53.351042544644805</v>
      </c>
    </row>
    <row r="2016" spans="2:11" x14ac:dyDescent="0.25">
      <c r="B2016" s="5" t="str">
        <f t="shared" si="1250"/>
        <v>SPS4</v>
      </c>
      <c r="C2016" s="5" t="str">
        <f t="shared" si="1264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1.6651855629514845E-3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1.6682104640700795E-3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1.6717671843022614E-3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1.68677100212574E-3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1.6862005782489699E-3</v>
      </c>
    </row>
    <row r="2017" spans="2:11" x14ac:dyDescent="0.25">
      <c r="B2017" s="5" t="str">
        <f t="shared" si="1250"/>
        <v>SPS4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265">SUM(F2018,F2022,F2025)</f>
        <v>2.3735113297001701E-4</v>
      </c>
      <c r="G2017" s="3">
        <f t="shared" ref="G2017" si="1266">SUM(G2018,G2022,G2025)</f>
        <v>3.0086005290316824E-4</v>
      </c>
      <c r="H2017" s="3">
        <f t="shared" ref="H2017" si="1267">SUM(H2018,H2022,H2025)</f>
        <v>8.6505744871753741E-3</v>
      </c>
      <c r="I2017" s="3">
        <f t="shared" ref="I2017" si="1268">SUM(I2018,I2022,I2025)</f>
        <v>1.6841120533806719E-2</v>
      </c>
      <c r="J2017" s="3">
        <f t="shared" ref="J2017" si="1269">SUM(J2018,J2022,J2025)</f>
        <v>0.20338279395153222</v>
      </c>
      <c r="K2017" s="3">
        <f t="shared" ref="K2017" si="1270">SUM(K2018,K2022,K2025)</f>
        <v>0.995879569158724</v>
      </c>
    </row>
    <row r="2018" spans="2:11" x14ac:dyDescent="0.25">
      <c r="B2018" s="5" t="str">
        <f t="shared" si="1250"/>
        <v>SPS4</v>
      </c>
      <c r="C2018" s="5" t="str">
        <f t="shared" ref="C2018:C2027" si="1271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2.3735113297001701E-4</v>
      </c>
      <c r="G2018" s="1" cm="1">
        <f t="array" ref="G2018">SUMPRODUCT(ISNUMBER(SEARCH("SUP_ELCH2*",[1]OUT_SyntheticFuels!$C$4:$C$1000))*1,("Var_cap"=[1]OUT_SyntheticFuels!$B$4:$B$1000)*1,[1]OUT_SyntheticFuels!F$4:F$1000)</f>
        <v>3.0086005290316824E-4</v>
      </c>
      <c r="H2018" s="1" cm="1">
        <f t="array" ref="H2018">SUMPRODUCT(ISNUMBER(SEARCH("SUP_ELCH2*",[1]OUT_SyntheticFuels!$C$4:$C$1000))*1,("Var_cap"=[1]OUT_SyntheticFuels!$B$4:$B$1000)*1,[1]OUT_SyntheticFuels!G$4:G$1000)</f>
        <v>8.6505744871753741E-3</v>
      </c>
      <c r="I2018" s="1" cm="1">
        <f t="array" ref="I2018">SUMPRODUCT(ISNUMBER(SEARCH("SUP_ELCH2*",[1]OUT_SyntheticFuels!$C$4:$C$1000))*1,("Var_cap"=[1]OUT_SyntheticFuels!$B$4:$B$1000)*1,[1]OUT_SyntheticFuels!H$4:H$1000)</f>
        <v>1.6662676241858545E-2</v>
      </c>
      <c r="J2018" s="1" cm="1">
        <f t="array" ref="J2018">SUMPRODUCT(ISNUMBER(SEARCH("SUP_ELCH2*",[1]OUT_SyntheticFuels!$C$4:$C$1000))*1,("Var_cap"=[1]OUT_SyntheticFuels!$B$4:$B$1000)*1,[1]OUT_SyntheticFuels!I$4:I$1000)</f>
        <v>0.10984329533100376</v>
      </c>
      <c r="K2018" s="1" cm="1">
        <f t="array" ref="K2018">SUMPRODUCT(ISNUMBER(SEARCH("SUP_ELCH2*",[1]OUT_SyntheticFuels!$C$4:$C$1000))*1,("Var_cap"=[1]OUT_SyntheticFuels!$B$4:$B$1000)*1,[1]OUT_SyntheticFuels!J$4:J$1000)</f>
        <v>0.95811959843575423</v>
      </c>
    </row>
    <row r="2019" spans="2:11" x14ac:dyDescent="0.25">
      <c r="B2019" s="5" t="str">
        <f t="shared" si="1250"/>
        <v>SPS4</v>
      </c>
      <c r="C2019" s="5" t="str">
        <f t="shared" si="1271"/>
        <v>CH</v>
      </c>
      <c r="D2019" t="s">
        <v>2146</v>
      </c>
      <c r="E2019" t="s">
        <v>2155</v>
      </c>
      <c r="F2019" s="1">
        <f t="shared" ref="F2019" si="1272">F2018-F2020-F2021</f>
        <v>2.3735113297001701E-4</v>
      </c>
      <c r="G2019" s="1">
        <f t="shared" ref="G2019" si="1273">G2018-G2020-G2021</f>
        <v>3.0086005290316824E-4</v>
      </c>
      <c r="H2019" s="1">
        <f t="shared" ref="H2019" si="1274">H2018-H2020-H2021</f>
        <v>8.6505744871753741E-3</v>
      </c>
      <c r="I2019" s="1">
        <f t="shared" ref="I2019" si="1275">I2018-I2020-I2021</f>
        <v>1.6659890962847965E-2</v>
      </c>
      <c r="J2019" s="1">
        <f t="shared" ref="J2019" si="1276">J2018-J2020-J2021</f>
        <v>9.8751898562213281E-2</v>
      </c>
      <c r="K2019" s="1">
        <f t="shared" ref="K2019" si="1277">K2018-K2020-K2021</f>
        <v>0.83723325455335507</v>
      </c>
    </row>
    <row r="2020" spans="2:11" x14ac:dyDescent="0.25">
      <c r="B2020" s="5" t="str">
        <f t="shared" si="1250"/>
        <v>SPS4</v>
      </c>
      <c r="C2020" s="5" t="str">
        <f t="shared" si="1271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2.7852790105790001E-6</v>
      </c>
      <c r="J2020" s="1" cm="1">
        <f t="array" ref="J2020">SUMPRODUCT(ISNUMBER(SEARCH("SUP_ELCH2*D",[1]OUT_SyntheticFuels!$C$4:$C$1000))*1,("Var_cap"=[1]OUT_SyntheticFuels!$B$4:$B$1000)*1,[1]OUT_SyntheticFuels!I$4:I$1000)</f>
        <v>1.0953621459289501E-2</v>
      </c>
      <c r="K2020" s="1" cm="1">
        <f t="array" ref="K2020">SUMPRODUCT(ISNUMBER(SEARCH("SUP_ELCH2*D",[1]OUT_SyntheticFuels!$C$4:$C$1000))*1,("Var_cap"=[1]OUT_SyntheticFuels!$B$4:$B$1000)*1,[1]OUT_SyntheticFuels!J$4:J$1000)</f>
        <v>0.120754631102618</v>
      </c>
    </row>
    <row r="2021" spans="2:11" x14ac:dyDescent="0.25">
      <c r="B2021" s="5" t="str">
        <f t="shared" si="1250"/>
        <v>SPS4</v>
      </c>
      <c r="C2021" s="5" t="str">
        <f t="shared" si="1271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1.37775309500972E-4</v>
      </c>
      <c r="K2021" s="1" cm="1">
        <f t="array" ref="K2021">SUMPRODUCT(ISNUMBER(SEARCH("SUP_ELCH2*SOEC*",[1]OUT_SyntheticFuels!$C$4:$C$1000))*1,("Var_cap"=[1]OUT_SyntheticFuels!$B$4:$B$1000)*1,[1]OUT_SyntheticFuels!J$4:J$1000)</f>
        <v>1.317127797812202E-4</v>
      </c>
    </row>
    <row r="2022" spans="2:11" x14ac:dyDescent="0.25">
      <c r="B2022" s="5" t="str">
        <f t="shared" si="1250"/>
        <v>SPS4</v>
      </c>
      <c r="C2022" s="5" t="str">
        <f t="shared" si="1271"/>
        <v>CH</v>
      </c>
      <c r="D2022" t="s">
        <v>2149</v>
      </c>
      <c r="E2022" t="s">
        <v>2155</v>
      </c>
      <c r="F2022" s="1">
        <f t="shared" ref="F2022" si="1278">SUM(F2023:F2024)</f>
        <v>0</v>
      </c>
      <c r="G2022" s="1">
        <f t="shared" ref="G2022" si="1279">SUM(G2023:G2024)</f>
        <v>0</v>
      </c>
      <c r="H2022" s="1">
        <f t="shared" ref="H2022" si="1280">SUM(H2023:H2024)</f>
        <v>0</v>
      </c>
      <c r="I2022" s="1">
        <f t="shared" ref="I2022" si="1281">SUM(I2023:I2024)</f>
        <v>1.7844429194817301E-4</v>
      </c>
      <c r="J2022" s="1">
        <f t="shared" ref="J2022" si="1282">SUM(J2023:J2024)</f>
        <v>9.3539498620528461E-2</v>
      </c>
      <c r="K2022" s="1">
        <f t="shared" ref="K2022" si="1283">SUM(K2023:K2024)</f>
        <v>1.457025489779995E-4</v>
      </c>
    </row>
    <row r="2023" spans="2:11" x14ac:dyDescent="0.25">
      <c r="B2023" s="5" t="str">
        <f t="shared" si="1250"/>
        <v>SPS4</v>
      </c>
      <c r="C2023" s="5" t="str">
        <f t="shared" si="1271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1.7844429194817301E-4</v>
      </c>
      <c r="J2023" s="1" cm="1">
        <f t="array" ref="J2023">SUMPRODUCT(ISNUMBER(SEARCH("SUP_NGAH2",[1]OUT_SyntheticFuels!$C$4:$C$1000))*1,("Var_cap"=[1]OUT_SyntheticFuels!$B$4:$B$1000)*1,[1]OUT_SyntheticFuels!I$4:I$1000)-J2024</f>
        <v>9.3539498620528461E-2</v>
      </c>
      <c r="K2023" s="1" cm="1">
        <f t="array" ref="K2023">SUMPRODUCT(ISNUMBER(SEARCH("SUP_NGAH2",[1]OUT_SyntheticFuels!$C$4:$C$1000))*1,("Var_cap"=[1]OUT_SyntheticFuels!$B$4:$B$1000)*1,[1]OUT_SyntheticFuels!J$4:J$1000)-K2024</f>
        <v>1.457025489779995E-4</v>
      </c>
    </row>
    <row r="2024" spans="2:11" x14ac:dyDescent="0.25">
      <c r="B2024" s="5" t="str">
        <f t="shared" si="1250"/>
        <v>SPS4</v>
      </c>
      <c r="C2024" s="5" t="str">
        <f t="shared" si="1271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</v>
      </c>
    </row>
    <row r="2025" spans="2:11" x14ac:dyDescent="0.25">
      <c r="B2025" s="5" t="str">
        <f t="shared" si="1250"/>
        <v>SPS4</v>
      </c>
      <c r="C2025" s="5" t="str">
        <f t="shared" si="1271"/>
        <v>CH</v>
      </c>
      <c r="D2025" t="s">
        <v>2152</v>
      </c>
      <c r="E2025" t="s">
        <v>2155</v>
      </c>
      <c r="F2025" s="1">
        <f t="shared" ref="F2025" si="1284">SUM(F2026:F2027)</f>
        <v>0</v>
      </c>
      <c r="G2025" s="1">
        <f t="shared" ref="G2025" si="1285">SUM(G2026:G2027)</f>
        <v>0</v>
      </c>
      <c r="H2025" s="1">
        <f t="shared" ref="H2025" si="1286">SUM(H2026:H2027)</f>
        <v>0</v>
      </c>
      <c r="I2025" s="1">
        <f t="shared" ref="I2025" si="1287">SUM(I2026:I2027)</f>
        <v>0</v>
      </c>
      <c r="J2025" s="1">
        <f t="shared" ref="J2025" si="1288">SUM(J2026:J2027)</f>
        <v>0</v>
      </c>
      <c r="K2025" s="1">
        <f t="shared" ref="K2025" si="1289">SUM(K2026:K2027)</f>
        <v>3.7614268173991799E-2</v>
      </c>
    </row>
    <row r="2026" spans="2:11" x14ac:dyDescent="0.25">
      <c r="B2026" s="5" t="str">
        <f t="shared" si="1250"/>
        <v>SPS4</v>
      </c>
      <c r="C2026" s="5" t="str">
        <f t="shared" si="1271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3.7614268173991799E-2</v>
      </c>
    </row>
    <row r="2027" spans="2:11" x14ac:dyDescent="0.25">
      <c r="B2027" s="5" t="str">
        <f t="shared" si="1250"/>
        <v>SPS4</v>
      </c>
      <c r="C2027" s="5" t="str">
        <f t="shared" si="1271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</v>
      </c>
    </row>
    <row r="2028" spans="2:11" x14ac:dyDescent="0.25">
      <c r="B2028" s="5" t="str">
        <f t="shared" si="1250"/>
        <v>SPS4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si="1250"/>
        <v>SPS4</v>
      </c>
      <c r="C2029" s="5" t="str">
        <f t="shared" ref="C2029:C2044" si="129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3.2458748963395109E-2</v>
      </c>
      <c r="G2029" s="7" cm="1">
        <f t="array" ref="G2029">SUMPRODUCT(("CT_CWODBDS"=[1]OUT_SyntheticFuels!$C$4:$C$1000)*1,("Var_cap"=[1]OUT_SyntheticFuels!$B$4:$B$1000)*1,[1]OUT_SyntheticFuels!F$4:F$1000)</f>
        <v>3.2456054028960055E-2</v>
      </c>
      <c r="H2029" s="7" cm="1">
        <f t="array" ref="H2029">SUMPRODUCT(("CT_CWODBDS"=[1]OUT_SyntheticFuels!$C$4:$C$1000)*1,("Var_cap"=[1]OUT_SyntheticFuels!$B$4:$B$1000)*1,[1]OUT_SyntheticFuels!G$4:G$1000)</f>
        <v>3.2455962537740114E-2</v>
      </c>
      <c r="I2029" s="7" cm="1">
        <f t="array" ref="I2029">SUMPRODUCT(("CT_CWODBDS"=[1]OUT_SyntheticFuels!$C$4:$C$1000)*1,("Var_cap"=[1]OUT_SyntheticFuels!$B$4:$B$1000)*1,[1]OUT_SyntheticFuels!H$4:H$1000)</f>
        <v>2.7997368399292066E-5</v>
      </c>
      <c r="J2029" s="7" cm="1">
        <f t="array" ref="J2029">SUMPRODUCT(("CT_CWODBDS"=[1]OUT_SyntheticFuels!$C$4:$C$1000)*1,("Var_cap"=[1]OUT_SyntheticFuels!$B$4:$B$1000)*1,[1]OUT_SyntheticFuels!I$4:I$1000)</f>
        <v>1.5264494660999815E-5</v>
      </c>
      <c r="K2029" s="7" cm="1">
        <f t="array" ref="K2029">SUMPRODUCT(("CT_CWODBDS"=[1]OUT_SyntheticFuels!$C$4:$C$1000)*1,("Var_cap"=[1]OUT_SyntheticFuels!$B$4:$B$1000)*1,[1]OUT_SyntheticFuels!J$4:J$1000)</f>
        <v>1.2542925294583958E-5</v>
      </c>
    </row>
    <row r="2030" spans="2:11" x14ac:dyDescent="0.25">
      <c r="B2030" s="5" t="str">
        <f t="shared" si="1250"/>
        <v>SPS4</v>
      </c>
      <c r="C2030" s="5" t="str">
        <f t="shared" si="129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</v>
      </c>
    </row>
    <row r="2031" spans="2:11" x14ac:dyDescent="0.25">
      <c r="B2031" s="5" t="str">
        <f t="shared" si="1250"/>
        <v>SPS4</v>
      </c>
      <c r="C2031" s="5" t="str">
        <f t="shared" si="129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6.3454860716877278E-3</v>
      </c>
      <c r="G2031" s="7" cm="1">
        <f t="array" ref="G2031">SUMPRODUCT(("CT_CWODETH"=[1]OUT_SyntheticFuels!$C$4:$C$1000)*1,("Var_cap"=[1]OUT_SyntheticFuels!$B$4:$B$1000)*1,[1]OUT_SyntheticFuels!F$4:F$1000)</f>
        <v>6.345443842972919E-3</v>
      </c>
      <c r="H2031" s="7" cm="1">
        <f t="array" ref="H2031">SUMPRODUCT(("CT_CWODETH"=[1]OUT_SyntheticFuels!$C$4:$C$1000)*1,("Var_cap"=[1]OUT_SyntheticFuels!$B$4:$B$1000)*1,[1]OUT_SyntheticFuels!G$4:G$1000)</f>
        <v>6.3455660463540694E-3</v>
      </c>
      <c r="I2031" s="7" cm="1">
        <f t="array" ref="I2031">SUMPRODUCT(("CT_CWODETH"=[1]OUT_SyntheticFuels!$C$4:$C$1000)*1,("Var_cap"=[1]OUT_SyntheticFuels!$B$4:$B$1000)*1,[1]OUT_SyntheticFuels!H$4:H$1000)</f>
        <v>4.435890499526053E-3</v>
      </c>
      <c r="J2031" s="7" cm="1">
        <f t="array" ref="J2031">SUMPRODUCT(("CT_CWODETH"=[1]OUT_SyntheticFuels!$C$4:$C$1000)*1,("Var_cap"=[1]OUT_SyntheticFuels!$B$4:$B$1000)*1,[1]OUT_SyntheticFuels!I$4:I$1000)</f>
        <v>9.0022799629501001E-6</v>
      </c>
      <c r="K2031" s="7" cm="1">
        <f t="array" ref="K2031">SUMPRODUCT(("CT_CWODETH"=[1]OUT_SyntheticFuels!$C$4:$C$1000)*1,("Var_cap"=[1]OUT_SyntheticFuels!$B$4:$B$1000)*1,[1]OUT_SyntheticFuels!J$4:J$1000)</f>
        <v>5.8175724560127276E-6</v>
      </c>
    </row>
    <row r="2032" spans="2:11" x14ac:dyDescent="0.25">
      <c r="B2032" s="5" t="str">
        <f t="shared" si="1250"/>
        <v>SPS4</v>
      </c>
      <c r="C2032" s="5" t="str">
        <f t="shared" si="129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25">
      <c r="B2033" s="5" t="str">
        <f t="shared" si="1250"/>
        <v>SPS4</v>
      </c>
      <c r="C2033" s="5" t="str">
        <f t="shared" si="129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4.9417935019844997E-2</v>
      </c>
      <c r="G2033" s="7" cm="1">
        <f t="array" ref="G2033">SUMPRODUCT(("SUP_MNRBIO"=[1]OUT_SyntheticFuels!$C$4:$C$1000)*1,("Var_cap"=[1]OUT_SyntheticFuels!$B$4:$B$1000)*1,[1]OUT_SyntheticFuels!F$4:F$1000)</f>
        <v>0.1721014674010751</v>
      </c>
      <c r="H2033" s="7" cm="1">
        <f t="array" ref="H2033">SUMPRODUCT(("SUP_MNRBIO"=[1]OUT_SyntheticFuels!$C$4:$C$1000)*1,("Var_cap"=[1]OUT_SyntheticFuels!$B$4:$B$1000)*1,[1]OUT_SyntheticFuels!G$4:G$1000)</f>
        <v>0.1721020782372408</v>
      </c>
      <c r="I2033" s="7" cm="1">
        <f t="array" ref="I2033">SUMPRODUCT(("SUP_MNRBIO"=[1]OUT_SyntheticFuels!$C$4:$C$1000)*1,("Var_cap"=[1]OUT_SyntheticFuels!$B$4:$B$1000)*1,[1]OUT_SyntheticFuels!H$4:H$1000)</f>
        <v>0.19090542647369943</v>
      </c>
      <c r="J2033" s="7" cm="1">
        <f t="array" ref="J2033">SUMPRODUCT(("SUP_MNRBIO"=[1]OUT_SyntheticFuels!$C$4:$C$1000)*1,("Var_cap"=[1]OUT_SyntheticFuels!$B$4:$B$1000)*1,[1]OUT_SyntheticFuels!I$4:I$1000)</f>
        <v>0.27949073248673717</v>
      </c>
      <c r="K2033" s="7" cm="1">
        <f t="array" ref="K2033">SUMPRODUCT(("SUP_MNRBIO"=[1]OUT_SyntheticFuels!$C$4:$C$1000)*1,("Var_cap"=[1]OUT_SyntheticFuels!$B$4:$B$1000)*1,[1]OUT_SyntheticFuels!J$4:J$1000)</f>
        <v>0.34965059023924761</v>
      </c>
    </row>
    <row r="2034" spans="2:11" x14ac:dyDescent="0.25">
      <c r="B2034" s="5" t="str">
        <f t="shared" si="1250"/>
        <v>SPS4</v>
      </c>
      <c r="C2034" s="5" t="str">
        <f t="shared" si="129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0.21266628957608558</v>
      </c>
      <c r="G2034" s="7" cm="1">
        <f t="array" ref="G2034">SUMPRODUCT(("SUP_WSTBIO"=[1]OUT_SyntheticFuels!$C$4:$C$1000)*1,("Var_cap"=[1]OUT_SyntheticFuels!$B$4:$B$1000)*1,[1]OUT_SyntheticFuels!F$4:F$1000)</f>
        <v>0.21295970452938212</v>
      </c>
      <c r="H2034" s="7" cm="1">
        <f t="array" ref="H2034">SUMPRODUCT(("SUP_WSTBIO"=[1]OUT_SyntheticFuels!$C$4:$C$1000)*1,("Var_cap"=[1]OUT_SyntheticFuels!$B$4:$B$1000)*1,[1]OUT_SyntheticFuels!G$4:G$1000)</f>
        <v>0.21295716226409073</v>
      </c>
      <c r="I2034" s="7" cm="1">
        <f t="array" ref="I2034">SUMPRODUCT(("SUP_WSTBIO"=[1]OUT_SyntheticFuels!$C$4:$C$1000)*1,("Var_cap"=[1]OUT_SyntheticFuels!$B$4:$B$1000)*1,[1]OUT_SyntheticFuels!H$4:H$1000)</f>
        <v>0.21222392322088041</v>
      </c>
      <c r="J2034" s="7" cm="1">
        <f t="array" ref="J2034">SUMPRODUCT(("SUP_WSTBIO"=[1]OUT_SyntheticFuels!$C$4:$C$1000)*1,("Var_cap"=[1]OUT_SyntheticFuels!$B$4:$B$1000)*1,[1]OUT_SyntheticFuels!I$4:I$1000)</f>
        <v>0.20568679270998599</v>
      </c>
      <c r="K2034" s="7" cm="1">
        <f t="array" ref="K2034">SUMPRODUCT(("SUP_WSTBIO"=[1]OUT_SyntheticFuels!$C$4:$C$1000)*1,("Var_cap"=[1]OUT_SyntheticFuels!$B$4:$B$1000)*1,[1]OUT_SyntheticFuels!J$4:J$1000)</f>
        <v>0.19354298581583462</v>
      </c>
    </row>
    <row r="2035" spans="2:11" x14ac:dyDescent="0.25">
      <c r="B2035" s="5" t="str">
        <f t="shared" si="1250"/>
        <v>SPS4</v>
      </c>
      <c r="C2035" s="5" t="str">
        <f t="shared" si="129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ref="B2036:B2044" si="1291">B2035</f>
        <v>SPS4</v>
      </c>
      <c r="C2036" s="5" t="str">
        <f t="shared" si="129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8.9998251559566903E-6</v>
      </c>
      <c r="K2036" s="7" cm="1">
        <f t="array" ref="K2036">SUMPRODUCT(("SUP_WSTHTGBIO"=[1]OUT_SyntheticFuels!$C$4:$C$1000)*1,("Var_cap"=[1]OUT_SyntheticFuels!$B$4:$B$1000)*1,[1]OUT_SyntheticFuels!J$4:J$1000)</f>
        <v>9.098847230839106E-6</v>
      </c>
    </row>
    <row r="2037" spans="2:11" x14ac:dyDescent="0.25">
      <c r="B2037" s="5" t="str">
        <f t="shared" si="1291"/>
        <v>SPS4</v>
      </c>
      <c r="C2037" s="5" t="str">
        <f t="shared" si="129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25">
      <c r="B2038" s="5" t="str">
        <f t="shared" si="1291"/>
        <v>SPS4</v>
      </c>
      <c r="C2038" s="5" t="str">
        <f t="shared" si="129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3.7118756939332398E-7</v>
      </c>
      <c r="G2038" s="7" cm="1">
        <f t="array" ref="G2038">SUMPRODUCT(("SUP_WODBIO"=[1]OUT_SyntheticFuels!$C$4:$C$1000)*1,("Var_cap"=[1]OUT_SyntheticFuels!$B$4:$B$1000)*1,[1]OUT_SyntheticFuels!F$4:F$1000)</f>
        <v>1.2611432402839964E-5</v>
      </c>
      <c r="H2038" s="7" cm="1">
        <f t="array" ref="H2038">SUMPRODUCT(("SUP_WODBIO"=[1]OUT_SyntheticFuels!$C$4:$C$1000)*1,("Var_cap"=[1]OUT_SyntheticFuels!$B$4:$B$1000)*1,[1]OUT_SyntheticFuels!G$4:G$1000)</f>
        <v>1.3328616940969415E-5</v>
      </c>
      <c r="I2038" s="7" cm="1">
        <f t="array" ref="I2038">SUMPRODUCT(("SUP_WODBIO"=[1]OUT_SyntheticFuels!$C$4:$C$1000)*1,("Var_cap"=[1]OUT_SyntheticFuels!$B$4:$B$1000)*1,[1]OUT_SyntheticFuels!H$4:H$1000)</f>
        <v>1.3421722102196367E-5</v>
      </c>
      <c r="J2038" s="7" cm="1">
        <f t="array" ref="J2038">SUMPRODUCT(("SUP_WODBIO"=[1]OUT_SyntheticFuels!$C$4:$C$1000)*1,("Var_cap"=[1]OUT_SyntheticFuels!$B$4:$B$1000)*1,[1]OUT_SyntheticFuels!I$4:I$1000)</f>
        <v>1.7217083783094799E-5</v>
      </c>
      <c r="K2038" s="7" cm="1">
        <f t="array" ref="K2038">SUMPRODUCT(("SUP_WODBIO"=[1]OUT_SyntheticFuels!$C$4:$C$1000)*1,("Var_cap"=[1]OUT_SyntheticFuels!$B$4:$B$1000)*1,[1]OUT_SyntheticFuels!J$4:J$1000)</f>
        <v>1.3573317726906076E-5</v>
      </c>
    </row>
    <row r="2039" spans="2:11" x14ac:dyDescent="0.25">
      <c r="B2039" s="5" t="str">
        <f t="shared" si="1291"/>
        <v>SPS4</v>
      </c>
      <c r="C2039" s="5" t="str">
        <f t="shared" si="129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25">
      <c r="B2040" s="5" t="str">
        <f t="shared" si="1291"/>
        <v>SPS4</v>
      </c>
      <c r="C2040" s="5" t="str">
        <f t="shared" si="129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4.2351992722888206E-2</v>
      </c>
      <c r="G2040" s="7" cm="1">
        <f t="array" ref="G2040">SUMPRODUCT(("SUP_BIONGA"=[1]OUT_SyntheticFuels!$C$4:$C$1000)*1,("Var_cap"=[1]OUT_SyntheticFuels!$B$4:$B$1000)*1,[1]OUT_SyntheticFuels!F$4:F$1000)</f>
        <v>0.12817674367851956</v>
      </c>
      <c r="H2040" s="7" cm="1">
        <f t="array" ref="H2040">SUMPRODUCT(("SUP_BIONGA"=[1]OUT_SyntheticFuels!$C$4:$C$1000)*1,("Var_cap"=[1]OUT_SyntheticFuels!$B$4:$B$1000)*1,[1]OUT_SyntheticFuels!G$4:G$1000)</f>
        <v>0.12817264838129902</v>
      </c>
      <c r="I2040" s="7" cm="1">
        <f t="array" ref="I2040">SUMPRODUCT(("SUP_BIONGA"=[1]OUT_SyntheticFuels!$C$4:$C$1000)*1,("Var_cap"=[1]OUT_SyntheticFuels!$B$4:$B$1000)*1,[1]OUT_SyntheticFuels!H$4:H$1000)</f>
        <v>9.4600661258401997E-2</v>
      </c>
      <c r="J2040" s="7" cm="1">
        <f t="array" ref="J2040">SUMPRODUCT(("SUP_BIONGA"=[1]OUT_SyntheticFuels!$C$4:$C$1000)*1,("Var_cap"=[1]OUT_SyntheticFuels!$B$4:$B$1000)*1,[1]OUT_SyntheticFuels!I$4:I$1000)</f>
        <v>9.201460473697351E-2</v>
      </c>
      <c r="K2040" s="7" cm="1">
        <f t="array" ref="K2040">SUMPRODUCT(("SUP_BIONGA"=[1]OUT_SyntheticFuels!$C$4:$C$1000)*1,("Var_cap"=[1]OUT_SyntheticFuels!$B$4:$B$1000)*1,[1]OUT_SyntheticFuels!J$4:J$1000)</f>
        <v>0.19856515208444292</v>
      </c>
    </row>
    <row r="2041" spans="2:11" x14ac:dyDescent="0.25">
      <c r="B2041" s="5" t="str">
        <f t="shared" si="1291"/>
        <v>SPS4</v>
      </c>
      <c r="C2041" s="5" t="str">
        <f t="shared" si="129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0.35479380511397385</v>
      </c>
      <c r="G2041" s="7" cm="1">
        <f t="array" ref="G2041">SUMPRODUCT(("CT_CWODPLT"=[1]OUT_SyntheticFuels!$C$4:$C$1000)*1,("Var_cap"=[1]OUT_SyntheticFuels!$B$4:$B$1000)*1,[1]OUT_SyntheticFuels!F$4:F$1000)</f>
        <v>0.40999797078310385</v>
      </c>
      <c r="H2041" s="7" cm="1">
        <f t="array" ref="H2041">SUMPRODUCT(("CT_CWODPLT"=[1]OUT_SyntheticFuels!$C$4:$C$1000)*1,("Var_cap"=[1]OUT_SyntheticFuels!$B$4:$B$1000)*1,[1]OUT_SyntheticFuels!G$4:G$1000)</f>
        <v>0.207699228376308</v>
      </c>
      <c r="I2041" s="7" cm="1">
        <f t="array" ref="I2041">SUMPRODUCT(("CT_CWODPLT"=[1]OUT_SyntheticFuels!$C$4:$C$1000)*1,("Var_cap"=[1]OUT_SyntheticFuels!$B$4:$B$1000)*1,[1]OUT_SyntheticFuels!H$4:H$1000)</f>
        <v>0.20769530498445796</v>
      </c>
      <c r="J2041" s="7" cm="1">
        <f t="array" ref="J2041">SUMPRODUCT(("CT_CWODPLT"=[1]OUT_SyntheticFuels!$C$4:$C$1000)*1,("Var_cap"=[1]OUT_SyntheticFuels!$B$4:$B$1000)*1,[1]OUT_SyntheticFuels!I$4:I$1000)</f>
        <v>0.25394941805443744</v>
      </c>
      <c r="K2041" s="7" cm="1">
        <f t="array" ref="K2041">SUMPRODUCT(("CT_CWODPLT"=[1]OUT_SyntheticFuels!$C$4:$C$1000)*1,("Var_cap"=[1]OUT_SyntheticFuels!$B$4:$B$1000)*1,[1]OUT_SyntheticFuels!J$4:J$1000)</f>
        <v>0.32508287482367532</v>
      </c>
    </row>
    <row r="2042" spans="2:11" x14ac:dyDescent="0.25">
      <c r="B2042" s="5" t="str">
        <f t="shared" si="1291"/>
        <v>SPS4</v>
      </c>
      <c r="C2042" s="5" t="str">
        <f t="shared" si="129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3.1605075433326798E-7</v>
      </c>
      <c r="J2042" s="7" cm="1">
        <f t="array" ref="J2042">SUMPRODUCT(("SUP_H2NGA"=[1]OUT_SyntheticFuels!$C$4:$C$1000)*1,("Var_cap"=[1]OUT_SyntheticFuels!$B$4:$B$1000)*1,[1]OUT_SyntheticFuels!I$4:I$1000)</f>
        <v>6.9270973421300507E-7</v>
      </c>
      <c r="K2042" s="7" cm="1">
        <f t="array" ref="K2042">SUMPRODUCT(("SUP_H2NGA"=[1]OUT_SyntheticFuels!$C$4:$C$1000)*1,("Var_cap"=[1]OUT_SyntheticFuels!$B$4:$B$1000)*1,[1]OUT_SyntheticFuels!J$4:J$1000)</f>
        <v>5.8361616193670396E-7</v>
      </c>
    </row>
    <row r="2043" spans="2:11" x14ac:dyDescent="0.25">
      <c r="B2043" s="5" t="str">
        <f t="shared" si="1291"/>
        <v>SPS4</v>
      </c>
      <c r="C2043" s="5" t="str">
        <f t="shared" si="129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2.9392689105886099E-7</v>
      </c>
      <c r="J2043" s="7" cm="1">
        <f t="array" ref="J2043">SUMPRODUCT(("SUP_H2DSL"=[1]OUT_SyntheticFuels!$C$4:$C$1000)*1,("Var_cap"=[1]OUT_SyntheticFuels!$B$4:$B$1000)*1,[1]OUT_SyntheticFuels!I$4:I$1000)</f>
        <v>9.6423609112127497E-7</v>
      </c>
      <c r="K2043" s="7" cm="1">
        <f t="array" ref="K2043">SUMPRODUCT(("SUP_H2DSL"=[1]OUT_SyntheticFuels!$C$4:$C$1000)*1,("Var_cap"=[1]OUT_SyntheticFuels!$B$4:$B$1000)*1,[1]OUT_SyntheticFuels!J$4:J$1000)</f>
        <v>7.755931557770499E-7</v>
      </c>
    </row>
    <row r="2044" spans="2:11" x14ac:dyDescent="0.25">
      <c r="B2044" s="5" t="str">
        <f t="shared" si="1291"/>
        <v>SPS4</v>
      </c>
      <c r="C2044" s="5" t="str">
        <f t="shared" si="129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3.1522227327814802E-7</v>
      </c>
      <c r="J2044" s="7" cm="1">
        <f t="array" ref="J2044">SUMPRODUCT(("SUP_H2GSL"=[1]OUT_SyntheticFuels!$C$4:$C$1000)*1,("Var_cap"=[1]OUT_SyntheticFuels!$B$4:$B$1000)*1,[1]OUT_SyntheticFuels!I$4:I$1000)</f>
        <v>9.0012051316228807E-7</v>
      </c>
      <c r="K2044" s="7" cm="1">
        <f t="array" ref="K2044">SUMPRODUCT(("SUP_H2GSL"=[1]OUT_SyntheticFuels!$C$4:$C$1000)*1,("Var_cap"=[1]OUT_SyntheticFuels!$B$4:$B$1000)*1,[1]OUT_SyntheticFuels!J$4:J$1000)</f>
        <v>7.0757225517125508E-7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716.40661608698929</v>
      </c>
      <c r="D3" s="3">
        <f t="shared" ref="D3:H3" si="0">SUM(D4:D7)</f>
        <v>703.77312880809598</v>
      </c>
      <c r="E3" s="3">
        <f t="shared" si="0"/>
        <v>677.23455391021923</v>
      </c>
      <c r="F3" s="3">
        <f t="shared" si="0"/>
        <v>634.30585374205248</v>
      </c>
      <c r="G3" s="3">
        <f t="shared" si="0"/>
        <v>599.45098440099309</v>
      </c>
      <c r="H3" s="3">
        <f t="shared" si="0"/>
        <v>571.01042233789394</v>
      </c>
    </row>
    <row r="4" spans="2:8" x14ac:dyDescent="0.25">
      <c r="B4" s="25" t="s">
        <v>1728</v>
      </c>
      <c r="C4" s="1">
        <f>'SPS4'!F761</f>
        <v>142.21739318981992</v>
      </c>
      <c r="D4" s="1">
        <f>'SPS4'!G761</f>
        <v>140.27495821617831</v>
      </c>
      <c r="E4" s="1">
        <f>'SPS4'!H761</f>
        <v>143.16896513706135</v>
      </c>
      <c r="F4" s="1">
        <f>'SPS4'!I761</f>
        <v>145.21590084222439</v>
      </c>
      <c r="G4" s="1">
        <f>'SPS4'!J761</f>
        <v>146.49546636656041</v>
      </c>
      <c r="H4" s="1">
        <f>'SPS4'!K761</f>
        <v>146.39813639432455</v>
      </c>
    </row>
    <row r="5" spans="2:8" x14ac:dyDescent="0.25">
      <c r="B5" s="25" t="s">
        <v>1729</v>
      </c>
      <c r="C5" s="1">
        <f>'SPS4'!F880</f>
        <v>140.10107406652276</v>
      </c>
      <c r="D5" s="1">
        <f>'SPS4'!G880</f>
        <v>139.68511385895695</v>
      </c>
      <c r="E5" s="1">
        <f>'SPS4'!H880</f>
        <v>131.90669990833456</v>
      </c>
      <c r="F5" s="1">
        <f>'SPS4'!I880</f>
        <v>126.61714641914075</v>
      </c>
      <c r="G5" s="1">
        <f>'SPS4'!J880</f>
        <v>118.15647441677061</v>
      </c>
      <c r="H5" s="1">
        <f>'SPS4'!K880</f>
        <v>109.45975368394502</v>
      </c>
    </row>
    <row r="6" spans="2:8" x14ac:dyDescent="0.25">
      <c r="B6" s="25" t="s">
        <v>1730</v>
      </c>
      <c r="C6" s="1">
        <f>'SPS4'!F970</f>
        <v>219.90790257280329</v>
      </c>
      <c r="D6" s="1">
        <f>'SPS4'!G970</f>
        <v>216.76314631943785</v>
      </c>
      <c r="E6" s="1">
        <f>'SPS4'!H970</f>
        <v>220.47895971377199</v>
      </c>
      <c r="F6" s="1">
        <f>'SPS4'!I970</f>
        <v>211.48794843757443</v>
      </c>
      <c r="G6" s="1">
        <f>'SPS4'!J970</f>
        <v>200.3194213805852</v>
      </c>
      <c r="H6" s="1">
        <f>'SPS4'!K970</f>
        <v>191.63058907201412</v>
      </c>
    </row>
    <row r="7" spans="2:8" x14ac:dyDescent="0.25">
      <c r="B7" s="25" t="s">
        <v>1731</v>
      </c>
      <c r="C7" s="1">
        <f>'SPS4'!F1134+'SPS4'!F1313+'SPS4'!F1397+'SPS4'!F1481+'SPS4'!F1488+'SPS4'!F1495+'SPS4'!F1544+'SPS4'!F1591+'SPS4'!F1638</f>
        <v>214.18024625784341</v>
      </c>
      <c r="D7" s="1">
        <f>'SPS4'!G1134+'SPS4'!G1313+'SPS4'!G1397+'SPS4'!G1481+'SPS4'!G1488+'SPS4'!G1495+'SPS4'!G1544+'SPS4'!G1591+'SPS4'!G1638</f>
        <v>207.04991041352287</v>
      </c>
      <c r="E7" s="1">
        <f>'SPS4'!H1134+'SPS4'!H1313+'SPS4'!H1397+'SPS4'!H1481+'SPS4'!H1488+'SPS4'!H1495+'SPS4'!H1544+'SPS4'!H1591+'SPS4'!H1638</f>
        <v>181.67992915105137</v>
      </c>
      <c r="F7" s="1">
        <f>'SPS4'!I1134+'SPS4'!I1313+'SPS4'!I1397+'SPS4'!I1481+'SPS4'!I1488+'SPS4'!I1495+'SPS4'!I1544+'SPS4'!I1591+'SPS4'!I1638</f>
        <v>150.98485804311287</v>
      </c>
      <c r="G7" s="1">
        <f>'SPS4'!J1134+'SPS4'!J1313+'SPS4'!J1397+'SPS4'!J1481+'SPS4'!J1488+'SPS4'!J1495+'SPS4'!J1544+'SPS4'!J1591+'SPS4'!J1638</f>
        <v>134.4796222370768</v>
      </c>
      <c r="H7" s="1">
        <f>'SPS4'!K1134+'SPS4'!K1313+'SPS4'!K1397+'SPS4'!K1481+'SPS4'!K1488+'SPS4'!K1495+'SPS4'!K1544+'SPS4'!K1591+'SPS4'!K1638</f>
        <v>123.52194318761026</v>
      </c>
    </row>
    <row r="8" spans="2:8" x14ac:dyDescent="0.25">
      <c r="B8" s="2" t="s">
        <v>1736</v>
      </c>
      <c r="C8" s="3">
        <f>SUM(C9:C12)</f>
        <v>508.67356494967521</v>
      </c>
      <c r="D8" s="3">
        <f t="shared" ref="D8:H8" si="1">SUM(D9:D12)</f>
        <v>493.39161963702031</v>
      </c>
      <c r="E8" s="3">
        <f t="shared" si="1"/>
        <v>539.67738131850956</v>
      </c>
      <c r="F8" s="3">
        <f t="shared" si="1"/>
        <v>501.38359705230619</v>
      </c>
      <c r="G8" s="3">
        <f t="shared" si="1"/>
        <v>434.64806261876947</v>
      </c>
      <c r="H8" s="3">
        <f t="shared" si="1"/>
        <v>388.81104645534651</v>
      </c>
    </row>
    <row r="9" spans="2:8" x14ac:dyDescent="0.25">
      <c r="B9" s="25" t="s">
        <v>1733</v>
      </c>
      <c r="C9" s="1">
        <f>'SPS4'!F289+'SPS4'!F407</f>
        <v>493.35337048714342</v>
      </c>
      <c r="D9" s="1">
        <f>'SPS4'!G289+'SPS4'!G407</f>
        <v>473.15589099261121</v>
      </c>
      <c r="E9" s="1">
        <f>'SPS4'!H289+'SPS4'!H407</f>
        <v>517.01868315352294</v>
      </c>
      <c r="F9" s="1">
        <f>'SPS4'!I289+'SPS4'!I407</f>
        <v>475.92197523289616</v>
      </c>
      <c r="G9" s="1">
        <f>'SPS4'!J289+'SPS4'!J407</f>
        <v>399.55335416492477</v>
      </c>
      <c r="H9" s="1">
        <f>'SPS4'!K289+'SPS4'!K407</f>
        <v>342.4672125628889</v>
      </c>
    </row>
    <row r="10" spans="2:8" x14ac:dyDescent="0.25">
      <c r="B10" s="25" t="s">
        <v>1734</v>
      </c>
      <c r="C10" s="1">
        <f>'SPS4'!F588+'SPS4'!F602+'SPS4'!F642</f>
        <v>15.315120191072836</v>
      </c>
      <c r="D10" s="1">
        <f>'SPS4'!G588+'SPS4'!G602+'SPS4'!G642</f>
        <v>20.229102988206215</v>
      </c>
      <c r="E10" s="1">
        <f>'SPS4'!H588+'SPS4'!H602+'SPS4'!H642</f>
        <v>22.331243949641895</v>
      </c>
      <c r="F10" s="1">
        <f>'SPS4'!I588+'SPS4'!I602+'SPS4'!I642</f>
        <v>24.845413993566947</v>
      </c>
      <c r="G10" s="1">
        <f>'SPS4'!J588+'SPS4'!J602+'SPS4'!J642</f>
        <v>30.945198672965052</v>
      </c>
      <c r="H10" s="1">
        <f>'SPS4'!K588+'SPS4'!K602+'SPS4'!K642</f>
        <v>35.810015456472385</v>
      </c>
    </row>
    <row r="11" spans="2:8" x14ac:dyDescent="0.25">
      <c r="B11" s="25" t="s">
        <v>1732</v>
      </c>
      <c r="C11" s="1">
        <f>'SPS4'!F677</f>
        <v>5.0742714589434518E-3</v>
      </c>
      <c r="D11" s="1">
        <f>'SPS4'!G677</f>
        <v>6.6256562029340105E-3</v>
      </c>
      <c r="E11" s="1">
        <f>'SPS4'!H677</f>
        <v>0.32745421534463215</v>
      </c>
      <c r="F11" s="1">
        <f>'SPS4'!I677</f>
        <v>0.61620782584309641</v>
      </c>
      <c r="G11" s="1">
        <f>'SPS4'!J677</f>
        <v>4.1495097808796428</v>
      </c>
      <c r="H11" s="1">
        <f>'SPS4'!K677</f>
        <v>10.533818435985205</v>
      </c>
    </row>
    <row r="12" spans="2:8" x14ac:dyDescent="0.25">
      <c r="B12" s="25" t="s">
        <v>1735</v>
      </c>
      <c r="C12" s="1">
        <f>'SPS4'!F1702</f>
        <v>0</v>
      </c>
      <c r="D12" s="1">
        <f>'SPS4'!G1702</f>
        <v>0</v>
      </c>
      <c r="E12" s="1">
        <f>'SPS4'!H1702</f>
        <v>0</v>
      </c>
      <c r="F12" s="1">
        <f>'SPS4'!I1702</f>
        <v>0</v>
      </c>
      <c r="G12" s="1">
        <f>'SPS4'!J1702</f>
        <v>0</v>
      </c>
      <c r="H12" s="1">
        <f>'SPS4'!K1702</f>
        <v>0</v>
      </c>
    </row>
    <row r="13" spans="2:8" x14ac:dyDescent="0.25">
      <c r="B13" s="2" t="s">
        <v>1737</v>
      </c>
      <c r="C13" s="3">
        <f>'SPS4'!F2+'SPS4'!F20-'SPS4'!F55</f>
        <v>962.11401447113872</v>
      </c>
      <c r="D13" s="3">
        <f>'SPS4'!G2+'SPS4'!G20-'SPS4'!G55</f>
        <v>958.80092449411552</v>
      </c>
      <c r="E13" s="3">
        <f>'SPS4'!H2+'SPS4'!H20-'SPS4'!H55</f>
        <v>959.74021311622562</v>
      </c>
      <c r="F13" s="3">
        <f>'SPS4'!I2+'SPS4'!I20-'SPS4'!I55</f>
        <v>863.34527511784631</v>
      </c>
      <c r="G13" s="3">
        <f>'SPS4'!J2+'SPS4'!J20-'SPS4'!J55</f>
        <v>751.27749278291321</v>
      </c>
      <c r="H13" s="3">
        <f>'SPS4'!K2+'SPS4'!K20-'SPS4'!K55</f>
        <v>652.61940486670801</v>
      </c>
    </row>
    <row r="14" spans="2:8" x14ac:dyDescent="0.25">
      <c r="B14" s="25" t="s">
        <v>1738</v>
      </c>
      <c r="C14" s="1">
        <f>'SPS4'!F2</f>
        <v>299.34494725928482</v>
      </c>
      <c r="D14" s="1">
        <f>'SPS4'!G2</f>
        <v>291.91192454140236</v>
      </c>
      <c r="E14" s="1">
        <f>'SPS4'!H2</f>
        <v>381.28439701139104</v>
      </c>
      <c r="F14" s="1">
        <f>'SPS4'!I2</f>
        <v>362.51005924986754</v>
      </c>
      <c r="G14" s="1">
        <f>'SPS4'!J2</f>
        <v>418.36704208864961</v>
      </c>
      <c r="H14" s="1">
        <f>'SPS4'!K2</f>
        <v>482.47928605945623</v>
      </c>
    </row>
    <row r="15" spans="2:8" x14ac:dyDescent="0.25">
      <c r="B15" s="25" t="s">
        <v>19</v>
      </c>
      <c r="C15" s="1">
        <f>'SPS4'!F20</f>
        <v>779.93906914448041</v>
      </c>
      <c r="D15" s="1">
        <f>'SPS4'!G20</f>
        <v>702.31524263077779</v>
      </c>
      <c r="E15" s="1">
        <f>'SPS4'!H20</f>
        <v>633.25200748920349</v>
      </c>
      <c r="F15" s="1">
        <f>'SPS4'!I20</f>
        <v>556.45152815507527</v>
      </c>
      <c r="G15" s="1">
        <f>'SPS4'!J20</f>
        <v>356.69989963688778</v>
      </c>
      <c r="H15" s="1">
        <f>'SPS4'!K20</f>
        <v>186.45847005680926</v>
      </c>
    </row>
    <row r="16" spans="2:8" x14ac:dyDescent="0.25">
      <c r="B16" s="25" t="s">
        <v>24</v>
      </c>
      <c r="C16" s="1">
        <f>'SPS4'!F55</f>
        <v>117.1700019326265</v>
      </c>
      <c r="D16" s="1">
        <f>'SPS4'!G55</f>
        <v>35.42624267806459</v>
      </c>
      <c r="E16" s="1">
        <f>'SPS4'!H55</f>
        <v>54.796191384368882</v>
      </c>
      <c r="F16" s="1">
        <f>'SPS4'!I55</f>
        <v>55.616312287096392</v>
      </c>
      <c r="G16" s="1">
        <f>'SPS4'!J55</f>
        <v>23.789448942624141</v>
      </c>
      <c r="H16" s="1">
        <f>'SPS4'!K55</f>
        <v>16.318351249557502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06E0C806-BAC9-4C52-BABF-C7E8A0C2D85B}"/>
</file>

<file path=customXml/itemProps2.xml><?xml version="1.0" encoding="utf-8"?>
<ds:datastoreItem xmlns:ds="http://schemas.openxmlformats.org/officeDocument/2006/customXml" ds:itemID="{036E76AC-C651-4FE4-B2DA-8D21CEAC1277}"/>
</file>

<file path=customXml/itemProps3.xml><?xml version="1.0" encoding="utf-8"?>
<ds:datastoreItem xmlns:ds="http://schemas.openxmlformats.org/officeDocument/2006/customXml" ds:itemID="{D6E13B91-A5C8-45D3-B0BE-C77408602DD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SPS4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2025-03-12T11:19:15Z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