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main/GitHub/sweet_sure-2050-switzerland/inventories/"/>
    </mc:Choice>
  </mc:AlternateContent>
  <xr:revisionPtr revIDLastSave="0" documentId="13_ncr:1_{DE02C6F7-DC1F-0941-BCB9-E7358718D1B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iomass and waste" sheetId="6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9" i="6" l="1"/>
  <c r="H139" i="6"/>
  <c r="C139" i="6"/>
  <c r="A139" i="6"/>
  <c r="B128" i="6"/>
  <c r="B114" i="6"/>
  <c r="B87" i="6"/>
  <c r="B73" i="6"/>
  <c r="B59" i="6"/>
  <c r="B60" i="6" s="1"/>
  <c r="H57" i="6"/>
  <c r="B74" i="6"/>
  <c r="H71" i="6"/>
  <c r="C71" i="6"/>
  <c r="A71" i="6"/>
  <c r="C57" i="6"/>
  <c r="A57" i="6"/>
  <c r="B127" i="6"/>
  <c r="B113" i="6"/>
  <c r="H125" i="6"/>
  <c r="C125" i="6"/>
  <c r="A125" i="6"/>
  <c r="B46" i="6"/>
  <c r="B33" i="6"/>
  <c r="B100" i="6"/>
  <c r="H111" i="6"/>
  <c r="C111" i="6"/>
  <c r="A111" i="6"/>
  <c r="C100" i="6" l="1"/>
  <c r="C87" i="6"/>
  <c r="C46" i="6"/>
  <c r="C33" i="6"/>
  <c r="H99" i="6"/>
  <c r="D99" i="6"/>
  <c r="C99" i="6"/>
  <c r="A99" i="6"/>
  <c r="H86" i="6"/>
  <c r="D86" i="6"/>
  <c r="C86" i="6"/>
  <c r="A86" i="6"/>
  <c r="H45" i="6"/>
  <c r="D45" i="6"/>
  <c r="C45" i="6"/>
  <c r="A45" i="6"/>
  <c r="D32" i="6"/>
  <c r="H32" i="6"/>
  <c r="C32" i="6"/>
  <c r="A32" i="6"/>
  <c r="B17" i="6"/>
  <c r="H15" i="6"/>
  <c r="C15" i="6"/>
  <c r="A15" i="6"/>
  <c r="D51" i="2"/>
  <c r="B52" i="2"/>
  <c r="B49" i="2"/>
  <c r="B89" i="2"/>
  <c r="B15" i="2" l="1"/>
  <c r="G89" i="2"/>
  <c r="B90" i="2"/>
  <c r="D90" i="2"/>
  <c r="G51" i="2"/>
  <c r="F51" i="2"/>
  <c r="D52" i="2"/>
  <c r="B37" i="2"/>
  <c r="G36" i="2"/>
  <c r="D83" i="2"/>
  <c r="B97" i="2" s="1"/>
  <c r="D82" i="2"/>
  <c r="D36" i="2"/>
  <c r="D37" i="2"/>
  <c r="F36" i="2" s="1"/>
  <c r="C60" i="2"/>
  <c r="B10" i="2"/>
  <c r="J28" i="2"/>
  <c r="B16" i="6"/>
  <c r="B19" i="6"/>
  <c r="B18" i="6"/>
  <c r="F63" i="2"/>
  <c r="E63" i="2"/>
  <c r="H25" i="2"/>
  <c r="G25" i="2"/>
  <c r="F25" i="2"/>
  <c r="E25" i="2"/>
  <c r="D25" i="2"/>
  <c r="C25" i="2"/>
  <c r="C44" i="2"/>
  <c r="F52" i="2"/>
  <c r="G52" i="2"/>
  <c r="B34" i="2"/>
  <c r="D59" i="2"/>
  <c r="F37" i="2"/>
  <c r="G37" i="2"/>
  <c r="D97" i="2" l="1"/>
  <c r="F97" i="2" s="1"/>
  <c r="B98" i="2"/>
  <c r="D98" i="2" s="1"/>
  <c r="G97" i="2"/>
  <c r="G90" i="2"/>
  <c r="C59" i="2"/>
  <c r="D89" i="2"/>
  <c r="F98" i="2" l="1"/>
  <c r="G98" i="2"/>
  <c r="F89" i="2"/>
  <c r="F90" i="2"/>
</calcChain>
</file>

<file path=xl/sharedStrings.xml><?xml version="1.0" encoding="utf-8"?>
<sst xmlns="http://schemas.openxmlformats.org/spreadsheetml/2006/main" count="498" uniqueCount="156">
  <si>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</si>
  <si>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</si>
  <si>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</si>
  <si>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</si>
  <si>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</si>
  <si>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</si>
  <si>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</si>
  <si>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</si>
  <si>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</si>
  <si>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</si>
  <si>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</si>
  <si>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</si>
  <si>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</si>
  <si>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categories</t>
  </si>
  <si>
    <t>allocation</t>
  </si>
  <si>
    <t>production</t>
  </si>
  <si>
    <t/>
  </si>
  <si>
    <t>megajoule</t>
  </si>
  <si>
    <t>technosphere</t>
  </si>
  <si>
    <t>GREET</t>
  </si>
  <si>
    <t>market for diesel, burned in agricultural machinery</t>
  </si>
  <si>
    <t>diesel, burned in agricultural machinery</t>
  </si>
  <si>
    <t>skip</t>
  </si>
  <si>
    <t>Btu to MJ</t>
  </si>
  <si>
    <t>GLO</t>
  </si>
  <si>
    <t>gallon to liter</t>
  </si>
  <si>
    <t>LHV ethanol [MJ/kg]</t>
  </si>
  <si>
    <t>biosphere</t>
  </si>
  <si>
    <t>ton kilometer</t>
  </si>
  <si>
    <t>lbs to kg</t>
  </si>
  <si>
    <t>268597 Btu per ton</t>
  </si>
  <si>
    <t>miles to km</t>
  </si>
  <si>
    <t>bushel to ton</t>
  </si>
  <si>
    <t>hectare to square meters</t>
  </si>
  <si>
    <t>kg</t>
  </si>
  <si>
    <t>Energy, gross calorific value, in biomass</t>
  </si>
  <si>
    <t>natural resource::biotic</t>
  </si>
  <si>
    <t>cubic meter</t>
  </si>
  <si>
    <t>from "wood chips from softwood forestry, spruce, sustainable forest management, DE" from ecoinvent 3.7.1</t>
  </si>
  <si>
    <t>Wood, soft, standing</t>
  </si>
  <si>
    <t>specific gravity of ethanol</t>
  </si>
  <si>
    <t>acre to square meter</t>
  </si>
  <si>
    <t>Units conversion</t>
  </si>
  <si>
    <t>Fermentation</t>
  </si>
  <si>
    <t>Willow</t>
  </si>
  <si>
    <t>Poplar</t>
  </si>
  <si>
    <t>Switchgrass</t>
  </si>
  <si>
    <t>Miscanthus</t>
  </si>
  <si>
    <t>Corn Stover</t>
  </si>
  <si>
    <t>Forest Residue</t>
  </si>
  <si>
    <t>Electricity credit: kWh per gallon of ethanol</t>
  </si>
  <si>
    <t>Ethanol yield: gallons per dry ton</t>
  </si>
  <si>
    <t>ecoinvent 3.7.1</t>
  </si>
  <si>
    <t>Market price for ethanol [USD/gallon]</t>
  </si>
  <si>
    <t>Market price for electricity [€2005/kWh]</t>
  </si>
  <si>
    <t>USD to € conversion in 2015</t>
  </si>
  <si>
    <t>Input</t>
  </si>
  <si>
    <t>Ouptuts</t>
  </si>
  <si>
    <t>Electricity</t>
  </si>
  <si>
    <t>kWh</t>
  </si>
  <si>
    <t>Turnover</t>
  </si>
  <si>
    <t>EUR_2005</t>
  </si>
  <si>
    <t>% of turnover (allocation key)</t>
  </si>
  <si>
    <t>Ethanol</t>
  </si>
  <si>
    <t>GREET inventories</t>
  </si>
  <si>
    <t>Economic allocation</t>
  </si>
  <si>
    <t>Energy allocation</t>
  </si>
  <si>
    <t>% of energy output (allocation key)</t>
  </si>
  <si>
    <t>Pereira et al. 2019 inventories</t>
  </si>
  <si>
    <t>Sugarcane</t>
  </si>
  <si>
    <t>Ethanol yield: L</t>
  </si>
  <si>
    <t>per t Sugarcane</t>
  </si>
  <si>
    <t>per t Sugarcane straw</t>
  </si>
  <si>
    <t>Electricity credit: kWh per L ethanol</t>
  </si>
  <si>
    <t>Sugarcane ethanol production</t>
  </si>
  <si>
    <t>Outputs</t>
  </si>
  <si>
    <t>Sugarcane [kg]</t>
  </si>
  <si>
    <t>Ethanol [L]</t>
  </si>
  <si>
    <t>Electricity [kWh]</t>
  </si>
  <si>
    <t>Sugarcane straw ethanol production</t>
  </si>
  <si>
    <t>Sugarcane straw [kg]</t>
  </si>
  <si>
    <t>market for transport, freight, lorry, unspecified</t>
  </si>
  <si>
    <t>transport, freight, lorry, unspecified</t>
  </si>
  <si>
    <t>Willow/Poplar/Switchgrass/Miscanthus/Corn stover/Forest residues ethanol production</t>
  </si>
  <si>
    <t>Dry willow/poplar/switchgrass/miscanthus/corn stover/forest residues</t>
  </si>
  <si>
    <t>Ethanol yield: gallons per wet ton</t>
  </si>
  <si>
    <t>Sugarcane, wet</t>
  </si>
  <si>
    <t>Corn</t>
  </si>
  <si>
    <t>Grain sorghum</t>
  </si>
  <si>
    <t>Sweet sorghum</t>
  </si>
  <si>
    <t>Forage sorghum</t>
  </si>
  <si>
    <t>Biogenic CO2 from fermentation: kg per gallon</t>
  </si>
  <si>
    <t>ethanol carbon content (% by wt)</t>
  </si>
  <si>
    <t>ethanol CO2 emission factor [kg CO2/kg]</t>
  </si>
  <si>
    <t>Economic allocation [as given by GREET]</t>
  </si>
  <si>
    <t>Energy allocation [as given by GREET]</t>
  </si>
  <si>
    <t>Dried Distiller Grain with Solubles (DDGS): kg per gallon of ethanol</t>
  </si>
  <si>
    <t>Vinasse: gallon per gallon of ethanol</t>
  </si>
  <si>
    <t>Vinasse composition [g per gallon]</t>
  </si>
  <si>
    <t>N</t>
  </si>
  <si>
    <t>P</t>
  </si>
  <si>
    <t>K</t>
  </si>
  <si>
    <t>Corn oil: lbs per bushel of corn</t>
  </si>
  <si>
    <t>RER</t>
  </si>
  <si>
    <t>CH</t>
  </si>
  <si>
    <t>To account for primary energy in oil</t>
  </si>
  <si>
    <t>LHV [MJ/kg dry]</t>
  </si>
  <si>
    <t>Moisture content [% wt]</t>
  </si>
  <si>
    <t>Carbon uptake during biomass growth, based on 49.6% carbon content, dry, minus moisture content</t>
  </si>
  <si>
    <t>biodiesel CO2 emission factor [kg CO2/kg]</t>
  </si>
  <si>
    <t>Carbon dioxide, in air</t>
  </si>
  <si>
    <t>natural resource::in air</t>
  </si>
  <si>
    <t>LHV biodiesel [MJ/kg]</t>
  </si>
  <si>
    <t>LHV bio-kerosene [MJ/kg]</t>
  </si>
  <si>
    <t>kerosene CO2 emission factor [kg CO2/kg]</t>
  </si>
  <si>
    <t>US ton to metric ton</t>
  </si>
  <si>
    <t>database</t>
  </si>
  <si>
    <t>biomass</t>
  </si>
  <si>
    <t>market for forest residue</t>
  </si>
  <si>
    <t>forest residue</t>
  </si>
  <si>
    <t>Life Cycle Assessment of Biofuels in EU/CH, F. Cozzolini 2018, PSI. Adapted to Switzerland.</t>
  </si>
  <si>
    <t>Max. 100 km by truck.</t>
  </si>
  <si>
    <t>ecoinvent 3.9.1 cutoff</t>
  </si>
  <si>
    <t>heat production, from incineration of plastic waste mixture, energy allocation</t>
  </si>
  <si>
    <t>heat, from incineration of plastic waste mixture, energy allocation</t>
  </si>
  <si>
    <t>electricity production, from incineration of plastic waste mixture, energy allocation</t>
  </si>
  <si>
    <t>kilowatt hour</t>
  </si>
  <si>
    <t>electricity, from incineration of plastic waste mixture, energy allocation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</si>
  <si>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heat production: 7.66 / (7.66 + 3.93) = 66%. Hence, to deliver 1 MJ of heat: 1/7.66 * 66%.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</si>
  <si>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3.93MJ/kg electric energy and 7.66MJ/kg thermal energy. Allocation to electricity production: 3.93 / (7.66 + 3.93) = 33%. Hence, to deliver 1 kWh of heat: 3.6/3.93 * 33%.</t>
  </si>
  <si>
    <t>heat production, from biowaste, municipal incineration, energy allocation</t>
  </si>
  <si>
    <t>electricity production, from biowaste, municipal incineration, energy allocation</t>
  </si>
  <si>
    <t>electricity, from biowaste, municipal incineration, energy allocation</t>
  </si>
  <si>
    <t>treatment of biowaste, municipal incineration with fly ash extraction</t>
  </si>
  <si>
    <t>biowaste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</si>
  <si>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heat production: 1.01 / (1.01 + 0.42) = 71%. Hence, to deliver 1 MJ of heat: 1/1.01 * 71%.</t>
  </si>
  <si>
    <t>Dataset created based on ecoinvent's "treatment of waste plastic, mixture, municipal incineration with fly ash extraction". In ecoinvent, all burden is allocated to waste treatment. In STEM, waste-based heat and electricity are allocated the burden of burning waste. So we allocated the burden of treating waste between heat and electricity production, based on the respective outputs: 0.42MJ/kg electric energy and 1.01MJ/kg thermal energy. Allocation to electricity production: 0.42 / (1.01 + 0.42) = 29%. Hence, to deliver 1 kWh of heat: 1/0.42 * 29% * 3.6.</t>
  </si>
  <si>
    <t>Grossly adapted from Volkart et al. 2013 to ecoinvent CHP datasets. 90% CO2 capture efficiency. Added 10% energy penalty based on Volkart et al. 2013.</t>
  </si>
  <si>
    <t>carbon dioxide, captured at wood burning power plant 20 MW post, pipeline 200km, storage 1000m</t>
  </si>
  <si>
    <t>Carbon dioxide, non-fossil</t>
  </si>
  <si>
    <t>air</t>
  </si>
  <si>
    <t>This amount is here to partially cancel the non-fossil CO2 emissions.</t>
  </si>
  <si>
    <t>electricity production, at co-generation biowaste-fired power plant, post, pipeline 200km, storage 1000m</t>
  </si>
  <si>
    <t>heat production, at co-generation biowaste-fired power plant, post, pipeline 200km, storage 1000m</t>
  </si>
  <si>
    <t>heat, from biowaste, municipal incineration, energy allocation</t>
  </si>
  <si>
    <t>electricity production, at co-generation plastic waste-fired power plant, post, pipeline 200km, storage 1000m</t>
  </si>
  <si>
    <t>heat production, at co-generation plastic waste-fired power plant, post, pipeline 200km, storage 1000m</t>
  </si>
  <si>
    <t>electricity, from plastic waste mixture, municipal incineration, energy allocation</t>
  </si>
  <si>
    <t>heat, from plastic waste mixture, municipal incineration, energy allocation</t>
  </si>
  <si>
    <t>treatment of waste plastic, mixture, municipal incineration with fly ash extraction</t>
  </si>
  <si>
    <t>waste plastic, mixture</t>
  </si>
  <si>
    <t>Carbon dioxide, fossil</t>
  </si>
  <si>
    <t>electricity import, from neighboring countries</t>
  </si>
  <si>
    <t>electricity, high voltage</t>
  </si>
  <si>
    <t>market group for electricity, high voltage</t>
  </si>
  <si>
    <t>Link to European electricity.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</si>
</sst>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[$€-2]\ #,##0;[Red]\-[$€-2]\ #,##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164" fontId="4" fillId="0" borderId="5" xfId="1" applyNumberFormat="1" applyFont="1" applyFill="1" applyBorder="1" applyAlignment="1"/>
    <xf numFmtId="164" fontId="4" fillId="0" borderId="0" xfId="1" applyNumberFormat="1" applyFont="1" applyFill="1" applyBorder="1" applyAlignment="1"/>
    <xf numFmtId="164" fontId="0" fillId="0" borderId="0" xfId="0" applyNumberFormat="1"/>
    <xf numFmtId="165" fontId="4" fillId="0" borderId="3" xfId="1" applyNumberFormat="1" applyFont="1" applyFill="1" applyBorder="1" applyAlignment="1"/>
    <xf numFmtId="165" fontId="4" fillId="0" borderId="4" xfId="1" applyNumberFormat="1" applyFont="1" applyFill="1" applyBorder="1" applyAlignment="1"/>
    <xf numFmtId="165" fontId="0" fillId="0" borderId="4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5" fontId="0" fillId="0" borderId="7" xfId="0" applyNumberFormat="1" applyBorder="1"/>
    <xf numFmtId="166" fontId="0" fillId="0" borderId="0" xfId="0" applyNumberFormat="1"/>
    <xf numFmtId="9" fontId="0" fillId="0" borderId="0" xfId="1" applyFont="1"/>
    <xf numFmtId="165" fontId="4" fillId="0" borderId="5" xfId="1" applyNumberFormat="1" applyFont="1" applyFill="1" applyBorder="1" applyAlignment="1"/>
    <xf numFmtId="3" fontId="4" fillId="0" borderId="5" xfId="1" applyNumberFormat="1" applyFont="1" applyFill="1" applyBorder="1" applyAlignment="1"/>
    <xf numFmtId="165" fontId="4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4" fillId="0" borderId="9" xfId="1" applyNumberFormat="1" applyFont="1" applyFill="1" applyBorder="1" applyAlignment="1"/>
    <xf numFmtId="2" fontId="0" fillId="0" borderId="5" xfId="0" applyNumberFormat="1" applyBorder="1"/>
    <xf numFmtId="167" fontId="0" fillId="0" borderId="4" xfId="0" applyNumberFormat="1" applyBorder="1"/>
    <xf numFmtId="167" fontId="0" fillId="0" borderId="7" xfId="0" applyNumberFormat="1" applyBorder="1"/>
    <xf numFmtId="0" fontId="0" fillId="0" borderId="10" xfId="0" applyBorder="1"/>
    <xf numFmtId="9" fontId="0" fillId="0" borderId="2" xfId="1" applyFont="1" applyBorder="1"/>
    <xf numFmtId="9" fontId="0" fillId="0" borderId="2" xfId="1" applyFont="1" applyFill="1" applyBorder="1"/>
    <xf numFmtId="9" fontId="0" fillId="0" borderId="6" xfId="1" applyFont="1" applyFill="1" applyBorder="1"/>
    <xf numFmtId="9" fontId="0" fillId="0" borderId="4" xfId="1" applyFont="1" applyBorder="1"/>
    <xf numFmtId="9" fontId="0" fillId="0" borderId="4" xfId="1" applyFont="1" applyFill="1" applyBorder="1"/>
    <xf numFmtId="9" fontId="0" fillId="0" borderId="7" xfId="1" applyFont="1" applyFill="1" applyBorder="1"/>
    <xf numFmtId="0" fontId="0" fillId="0" borderId="11" xfId="0" applyBorder="1"/>
    <xf numFmtId="11" fontId="2" fillId="0" borderId="0" xfId="0" applyNumberFormat="1" applyFont="1"/>
    <xf numFmtId="4" fontId="4" fillId="0" borderId="5" xfId="1" applyNumberFormat="1" applyFont="1" applyFill="1" applyBorder="1" applyAlignment="1"/>
    <xf numFmtId="0" fontId="6" fillId="0" borderId="0" xfId="0" applyFont="1"/>
    <xf numFmtId="0" fontId="5" fillId="0" borderId="0" xfId="0" applyFont="1"/>
    <xf numFmtId="11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2"/>
  <sheetViews>
    <sheetView tabSelected="1" topLeftCell="A108" workbookViewId="0">
      <selection activeCell="B137" sqref="B137"/>
    </sheetView>
  </sheetViews>
  <sheetFormatPr baseColWidth="10" defaultColWidth="8.83203125" defaultRowHeight="15" x14ac:dyDescent="0.2"/>
  <cols>
    <col min="1" max="1" width="81.33203125" customWidth="1"/>
    <col min="2" max="2" width="9.83203125" style="3" customWidth="1"/>
    <col min="4" max="4" width="16.6640625" customWidth="1"/>
    <col min="5" max="5" width="21.6640625" customWidth="1"/>
    <col min="6" max="6" width="11.5" customWidth="1"/>
    <col min="7" max="7" width="15.33203125" customWidth="1"/>
    <col min="10" max="10" width="18.6640625" customWidth="1"/>
    <col min="13" max="13" width="9.6640625" bestFit="1" customWidth="1"/>
    <col min="14" max="14" width="10.6640625" bestFit="1" customWidth="1"/>
    <col min="18" max="18" width="9.6640625" bestFit="1" customWidth="1"/>
  </cols>
  <sheetData>
    <row r="1" spans="1:8" x14ac:dyDescent="0.2">
      <c r="A1" t="s">
        <v>116</v>
      </c>
      <c r="B1" s="3" t="s">
        <v>117</v>
      </c>
    </row>
    <row r="2" spans="1:8" ht="16.25" customHeight="1" x14ac:dyDescent="0.2">
      <c r="A2" s="1"/>
      <c r="B2" s="47"/>
    </row>
    <row r="3" spans="1:8" ht="16" x14ac:dyDescent="0.2">
      <c r="A3" s="1" t="s">
        <v>0</v>
      </c>
      <c r="B3" s="47" t="s">
        <v>118</v>
      </c>
    </row>
    <row r="4" spans="1:8" x14ac:dyDescent="0.2">
      <c r="A4" t="s">
        <v>1</v>
      </c>
      <c r="B4" s="3" t="s">
        <v>104</v>
      </c>
    </row>
    <row r="5" spans="1:8" x14ac:dyDescent="0.2">
      <c r="A5" t="s">
        <v>2</v>
      </c>
      <c r="B5" s="3">
        <v>1</v>
      </c>
    </row>
    <row r="6" spans="1:8" x14ac:dyDescent="0.2">
      <c r="A6" t="s">
        <v>3</v>
      </c>
      <c r="B6" s="3" t="s">
        <v>119</v>
      </c>
    </row>
    <row r="7" spans="1:8" x14ac:dyDescent="0.2">
      <c r="A7" t="s">
        <v>4</v>
      </c>
      <c r="B7" s="3" t="s">
        <v>5</v>
      </c>
    </row>
    <row r="8" spans="1:8" x14ac:dyDescent="0.2">
      <c r="A8" t="s">
        <v>6</v>
      </c>
      <c r="B8" s="3" t="s">
        <v>7</v>
      </c>
    </row>
    <row r="9" spans="1:8" x14ac:dyDescent="0.2">
      <c r="A9" t="s">
        <v>8</v>
      </c>
      <c r="B9" s="3" t="s">
        <v>120</v>
      </c>
    </row>
    <row r="10" spans="1:8" x14ac:dyDescent="0.2">
      <c r="A10" t="s">
        <v>106</v>
      </c>
      <c r="B10" s="3">
        <v>19</v>
      </c>
    </row>
    <row r="11" spans="1:8" x14ac:dyDescent="0.2">
      <c r="A11" t="s">
        <v>107</v>
      </c>
      <c r="B11" s="3">
        <v>0</v>
      </c>
    </row>
    <row r="12" spans="1:8" x14ac:dyDescent="0.2">
      <c r="A12" t="s">
        <v>9</v>
      </c>
      <c r="B12" s="3" t="s">
        <v>121</v>
      </c>
    </row>
    <row r="13" spans="1:8" ht="16" x14ac:dyDescent="0.2">
      <c r="A13" s="1" t="s">
        <v>10</v>
      </c>
    </row>
    <row r="14" spans="1:8" x14ac:dyDescent="0.2">
      <c r="A14" t="s">
        <v>11</v>
      </c>
      <c r="B14" s="3" t="s">
        <v>12</v>
      </c>
      <c r="C14" t="s">
        <v>1</v>
      </c>
      <c r="D14" t="s">
        <v>6</v>
      </c>
      <c r="E14" t="s">
        <v>13</v>
      </c>
      <c r="F14" t="s">
        <v>4</v>
      </c>
      <c r="G14" t="s">
        <v>9</v>
      </c>
      <c r="H14" t="s">
        <v>3</v>
      </c>
    </row>
    <row r="15" spans="1:8" x14ac:dyDescent="0.2">
      <c r="A15" s="3" t="str">
        <f>B3</f>
        <v>market for forest residue</v>
      </c>
      <c r="B15" s="3">
        <v>1</v>
      </c>
      <c r="C15" s="3" t="str">
        <f>B4</f>
        <v>CH</v>
      </c>
      <c r="D15" t="s">
        <v>7</v>
      </c>
      <c r="F15" t="s">
        <v>15</v>
      </c>
      <c r="G15" t="s">
        <v>16</v>
      </c>
      <c r="H15" s="3" t="str">
        <f>B6</f>
        <v>forest residue</v>
      </c>
    </row>
    <row r="16" spans="1:8" x14ac:dyDescent="0.2">
      <c r="A16" t="s">
        <v>20</v>
      </c>
      <c r="B16" s="3">
        <f>132180*Parameters!$B$3/1000</f>
        <v>0.13945728886199998</v>
      </c>
      <c r="C16" t="s">
        <v>24</v>
      </c>
      <c r="D16" t="s">
        <v>17</v>
      </c>
      <c r="F16" t="s">
        <v>18</v>
      </c>
      <c r="G16" t="s">
        <v>30</v>
      </c>
      <c r="H16" t="s">
        <v>21</v>
      </c>
    </row>
    <row r="17" spans="1:8" x14ac:dyDescent="0.2">
      <c r="A17" t="s">
        <v>81</v>
      </c>
      <c r="B17" s="3">
        <f>0.001*100</f>
        <v>0.1</v>
      </c>
      <c r="C17" t="s">
        <v>103</v>
      </c>
      <c r="D17" t="s">
        <v>28</v>
      </c>
      <c r="F17" t="s">
        <v>18</v>
      </c>
      <c r="G17" t="s">
        <v>16</v>
      </c>
      <c r="H17" t="s">
        <v>82</v>
      </c>
    </row>
    <row r="18" spans="1:8" x14ac:dyDescent="0.2">
      <c r="A18" t="s">
        <v>35</v>
      </c>
      <c r="B18" s="3">
        <f>B10*(1-B11)</f>
        <v>19</v>
      </c>
      <c r="D18" t="s">
        <v>17</v>
      </c>
      <c r="E18" t="s">
        <v>36</v>
      </c>
      <c r="F18" t="s">
        <v>27</v>
      </c>
      <c r="G18" t="s">
        <v>105</v>
      </c>
    </row>
    <row r="19" spans="1:8" x14ac:dyDescent="0.2">
      <c r="A19" t="s">
        <v>110</v>
      </c>
      <c r="B19" s="3">
        <f>0.496*(44/12)*(1-B11)</f>
        <v>1.8186666666666667</v>
      </c>
      <c r="D19" t="s">
        <v>7</v>
      </c>
      <c r="E19" t="s">
        <v>111</v>
      </c>
      <c r="F19" t="s">
        <v>27</v>
      </c>
      <c r="G19" t="s">
        <v>108</v>
      </c>
    </row>
    <row r="20" spans="1:8" x14ac:dyDescent="0.2">
      <c r="A20" t="s">
        <v>39</v>
      </c>
      <c r="B20" s="3">
        <v>2.3256000000000001E-3</v>
      </c>
      <c r="D20" t="s">
        <v>37</v>
      </c>
      <c r="E20" t="s">
        <v>36</v>
      </c>
      <c r="F20" t="s">
        <v>27</v>
      </c>
      <c r="G20" t="s">
        <v>38</v>
      </c>
    </row>
    <row r="21" spans="1:8" x14ac:dyDescent="0.2">
      <c r="G21" s="3"/>
    </row>
    <row r="22" spans="1:8" ht="16" x14ac:dyDescent="0.2">
      <c r="A22" s="1" t="s">
        <v>0</v>
      </c>
      <c r="B22" s="47" t="s">
        <v>123</v>
      </c>
    </row>
    <row r="23" spans="1:8" x14ac:dyDescent="0.2">
      <c r="A23" t="s">
        <v>1</v>
      </c>
      <c r="B23" s="3" t="s">
        <v>104</v>
      </c>
    </row>
    <row r="24" spans="1:8" x14ac:dyDescent="0.2">
      <c r="A24" t="s">
        <v>2</v>
      </c>
      <c r="B24" s="3">
        <v>1</v>
      </c>
    </row>
    <row r="25" spans="1:8" x14ac:dyDescent="0.2">
      <c r="A25" t="s">
        <v>3</v>
      </c>
      <c r="B25" s="3" t="s">
        <v>124</v>
      </c>
    </row>
    <row r="26" spans="1:8" x14ac:dyDescent="0.2">
      <c r="A26" t="s">
        <v>4</v>
      </c>
      <c r="B26" s="3" t="s">
        <v>5</v>
      </c>
    </row>
    <row r="27" spans="1:8" x14ac:dyDescent="0.2">
      <c r="A27" t="s">
        <v>6</v>
      </c>
      <c r="B27" s="3" t="s">
        <v>17</v>
      </c>
    </row>
    <row r="28" spans="1:8" x14ac:dyDescent="0.2">
      <c r="A28" t="s">
        <v>8</v>
      </c>
      <c r="B28" s="3" t="s">
        <v>122</v>
      </c>
    </row>
    <row r="29" spans="1:8" x14ac:dyDescent="0.2">
      <c r="A29" t="s">
        <v>9</v>
      </c>
      <c r="B29" s="3" t="s">
        <v>128</v>
      </c>
    </row>
    <row r="30" spans="1:8" ht="16" x14ac:dyDescent="0.2">
      <c r="A30" s="1" t="s">
        <v>10</v>
      </c>
    </row>
    <row r="31" spans="1:8" x14ac:dyDescent="0.2">
      <c r="A31" t="s">
        <v>11</v>
      </c>
      <c r="B31" s="3" t="s">
        <v>12</v>
      </c>
      <c r="C31" t="s">
        <v>1</v>
      </c>
      <c r="D31" t="s">
        <v>6</v>
      </c>
      <c r="E31" t="s">
        <v>13</v>
      </c>
      <c r="F31" t="s">
        <v>4</v>
      </c>
      <c r="G31" t="s">
        <v>9</v>
      </c>
      <c r="H31" t="s">
        <v>3</v>
      </c>
    </row>
    <row r="32" spans="1:8" x14ac:dyDescent="0.2">
      <c r="A32" s="3" t="str">
        <f>B22</f>
        <v>heat production, from incineration of plastic waste mixture, energy allocation</v>
      </c>
      <c r="B32" s="3">
        <v>1</v>
      </c>
      <c r="C32" s="3" t="str">
        <f>B23</f>
        <v>CH</v>
      </c>
      <c r="D32" s="3" t="str">
        <f>B27</f>
        <v>megajoule</v>
      </c>
      <c r="F32" t="s">
        <v>15</v>
      </c>
      <c r="G32" t="s">
        <v>16</v>
      </c>
      <c r="H32" s="3" t="str">
        <f>B25</f>
        <v>heat, from incineration of plastic waste mixture, energy allocation</v>
      </c>
    </row>
    <row r="33" spans="1:8" x14ac:dyDescent="0.2">
      <c r="A33" t="s">
        <v>149</v>
      </c>
      <c r="B33" s="2">
        <f>((1/7.66)*(7.66/(3.93+7.66)))*-1</f>
        <v>-8.6281276962899042E-2</v>
      </c>
      <c r="C33" s="3" t="str">
        <f>B23</f>
        <v>CH</v>
      </c>
      <c r="D33" t="s">
        <v>7</v>
      </c>
      <c r="F33" t="s">
        <v>18</v>
      </c>
      <c r="H33" t="s">
        <v>150</v>
      </c>
    </row>
    <row r="35" spans="1:8" ht="16" x14ac:dyDescent="0.2">
      <c r="A35" s="1" t="s">
        <v>0</v>
      </c>
      <c r="B35" s="47" t="s">
        <v>125</v>
      </c>
    </row>
    <row r="36" spans="1:8" x14ac:dyDescent="0.2">
      <c r="A36" t="s">
        <v>1</v>
      </c>
      <c r="B36" s="3" t="s">
        <v>104</v>
      </c>
    </row>
    <row r="37" spans="1:8" x14ac:dyDescent="0.2">
      <c r="A37" t="s">
        <v>2</v>
      </c>
      <c r="B37" s="3">
        <v>1</v>
      </c>
    </row>
    <row r="38" spans="1:8" x14ac:dyDescent="0.2">
      <c r="A38" t="s">
        <v>3</v>
      </c>
      <c r="B38" s="3" t="s">
        <v>127</v>
      </c>
    </row>
    <row r="39" spans="1:8" x14ac:dyDescent="0.2">
      <c r="A39" t="s">
        <v>4</v>
      </c>
      <c r="B39" s="3" t="s">
        <v>5</v>
      </c>
    </row>
    <row r="40" spans="1:8" x14ac:dyDescent="0.2">
      <c r="A40" t="s">
        <v>6</v>
      </c>
      <c r="B40" s="3" t="s">
        <v>126</v>
      </c>
    </row>
    <row r="41" spans="1:8" x14ac:dyDescent="0.2">
      <c r="A41" t="s">
        <v>8</v>
      </c>
      <c r="B41" s="3" t="s">
        <v>122</v>
      </c>
    </row>
    <row r="42" spans="1:8" x14ac:dyDescent="0.2">
      <c r="A42" t="s">
        <v>9</v>
      </c>
      <c r="B42" s="3" t="s">
        <v>129</v>
      </c>
    </row>
    <row r="43" spans="1:8" ht="16" x14ac:dyDescent="0.2">
      <c r="A43" s="1" t="s">
        <v>10</v>
      </c>
    </row>
    <row r="44" spans="1:8" x14ac:dyDescent="0.2">
      <c r="A44" t="s">
        <v>11</v>
      </c>
      <c r="B44" s="3" t="s">
        <v>12</v>
      </c>
      <c r="C44" t="s">
        <v>1</v>
      </c>
      <c r="D44" t="s">
        <v>6</v>
      </c>
      <c r="E44" t="s">
        <v>13</v>
      </c>
      <c r="F44" t="s">
        <v>4</v>
      </c>
      <c r="G44" t="s">
        <v>9</v>
      </c>
      <c r="H44" t="s">
        <v>3</v>
      </c>
    </row>
    <row r="45" spans="1:8" x14ac:dyDescent="0.2">
      <c r="A45" s="3" t="str">
        <f>B35</f>
        <v>electricity production, from incineration of plastic waste mixture, energy allocation</v>
      </c>
      <c r="B45" s="3">
        <v>1</v>
      </c>
      <c r="C45" s="3" t="str">
        <f>B36</f>
        <v>CH</v>
      </c>
      <c r="D45" s="3" t="str">
        <f>B40</f>
        <v>kilowatt hour</v>
      </c>
      <c r="F45" t="s">
        <v>15</v>
      </c>
      <c r="G45" t="s">
        <v>16</v>
      </c>
      <c r="H45" s="3" t="str">
        <f>B38</f>
        <v>electricity, from incineration of plastic waste mixture, energy allocation</v>
      </c>
    </row>
    <row r="46" spans="1:8" x14ac:dyDescent="0.2">
      <c r="A46" t="s">
        <v>149</v>
      </c>
      <c r="B46" s="2">
        <f>((3.6/3.93)*(3.93/(3.93+7.66)))*-1</f>
        <v>-0.31061259706643657</v>
      </c>
      <c r="C46" s="3" t="str">
        <f>B36</f>
        <v>CH</v>
      </c>
      <c r="D46" t="s">
        <v>7</v>
      </c>
      <c r="F46" t="s">
        <v>18</v>
      </c>
      <c r="H46" t="s">
        <v>150</v>
      </c>
    </row>
    <row r="48" spans="1:8" s="50" customFormat="1" ht="16" x14ac:dyDescent="0.2">
      <c r="A48" s="49" t="s">
        <v>0</v>
      </c>
      <c r="B48" s="49" t="s">
        <v>145</v>
      </c>
    </row>
    <row r="49" spans="1:8" s="50" customFormat="1" x14ac:dyDescent="0.2">
      <c r="A49" s="50" t="s">
        <v>1</v>
      </c>
      <c r="B49" s="50" t="s">
        <v>104</v>
      </c>
    </row>
    <row r="50" spans="1:8" s="50" customFormat="1" x14ac:dyDescent="0.2">
      <c r="A50" s="50" t="s">
        <v>2</v>
      </c>
      <c r="B50" s="50">
        <v>1</v>
      </c>
    </row>
    <row r="51" spans="1:8" s="50" customFormat="1" x14ac:dyDescent="0.2">
      <c r="A51" s="50" t="s">
        <v>9</v>
      </c>
      <c r="B51" s="50" t="s">
        <v>137</v>
      </c>
    </row>
    <row r="52" spans="1:8" s="50" customFormat="1" x14ac:dyDescent="0.2">
      <c r="A52" s="50" t="s">
        <v>3</v>
      </c>
      <c r="B52" s="3" t="s">
        <v>147</v>
      </c>
    </row>
    <row r="53" spans="1:8" s="50" customFormat="1" x14ac:dyDescent="0.2">
      <c r="A53" s="50" t="s">
        <v>4</v>
      </c>
      <c r="B53" s="50" t="s">
        <v>5</v>
      </c>
    </row>
    <row r="54" spans="1:8" s="50" customFormat="1" x14ac:dyDescent="0.2">
      <c r="A54" s="50" t="s">
        <v>6</v>
      </c>
      <c r="B54" s="50" t="s">
        <v>126</v>
      </c>
    </row>
    <row r="55" spans="1:8" s="50" customFormat="1" ht="16" x14ac:dyDescent="0.2">
      <c r="A55" s="49" t="s">
        <v>10</v>
      </c>
    </row>
    <row r="56" spans="1:8" s="50" customFormat="1" x14ac:dyDescent="0.2">
      <c r="A56" s="50" t="s">
        <v>11</v>
      </c>
      <c r="B56" s="50" t="s">
        <v>12</v>
      </c>
      <c r="C56" s="50" t="s">
        <v>1</v>
      </c>
      <c r="D56" s="50" t="s">
        <v>6</v>
      </c>
      <c r="E56" s="50" t="s">
        <v>13</v>
      </c>
      <c r="F56" s="50" t="s">
        <v>4</v>
      </c>
      <c r="G56" s="50" t="s">
        <v>9</v>
      </c>
      <c r="H56" s="50" t="s">
        <v>3</v>
      </c>
    </row>
    <row r="57" spans="1:8" s="50" customFormat="1" x14ac:dyDescent="0.2">
      <c r="A57" s="50" t="str">
        <f>B48</f>
        <v>electricity production, at co-generation plastic waste-fired power plant, post, pipeline 200km, storage 1000m</v>
      </c>
      <c r="B57" s="50">
        <v>1</v>
      </c>
      <c r="C57" s="50" t="str">
        <f>B49</f>
        <v>CH</v>
      </c>
      <c r="D57" s="50" t="s">
        <v>126</v>
      </c>
      <c r="F57" s="50" t="s">
        <v>15</v>
      </c>
      <c r="G57" s="50" t="s">
        <v>16</v>
      </c>
      <c r="H57" s="51" t="str">
        <f>B52</f>
        <v>electricity, from plastic waste mixture, municipal incineration, energy allocation</v>
      </c>
    </row>
    <row r="58" spans="1:8" s="50" customFormat="1" x14ac:dyDescent="0.2">
      <c r="A58" s="50" t="s">
        <v>125</v>
      </c>
      <c r="B58" s="50">
        <v>1.1000000000000001</v>
      </c>
      <c r="C58" s="50" t="s">
        <v>104</v>
      </c>
      <c r="D58" s="50" t="s">
        <v>126</v>
      </c>
      <c r="F58" s="50" t="s">
        <v>18</v>
      </c>
      <c r="G58" s="50" t="s">
        <v>16</v>
      </c>
      <c r="H58" s="50" t="s">
        <v>127</v>
      </c>
    </row>
    <row r="59" spans="1:8" s="50" customFormat="1" x14ac:dyDescent="0.2">
      <c r="A59" s="50" t="s">
        <v>138</v>
      </c>
      <c r="B59" s="50">
        <f>0.9*B58*2.31*0.31</f>
        <v>0.7089390000000001</v>
      </c>
      <c r="C59" s="50" t="s">
        <v>103</v>
      </c>
      <c r="D59" s="50" t="s">
        <v>7</v>
      </c>
      <c r="F59" s="50" t="s">
        <v>18</v>
      </c>
      <c r="H59" s="50" t="s">
        <v>138</v>
      </c>
    </row>
    <row r="60" spans="1:8" s="50" customFormat="1" x14ac:dyDescent="0.2">
      <c r="A60" s="50" t="s">
        <v>151</v>
      </c>
      <c r="B60" s="50">
        <f>B59*-1</f>
        <v>-0.7089390000000001</v>
      </c>
      <c r="D60" s="50" t="s">
        <v>7</v>
      </c>
      <c r="E60" s="50" t="s">
        <v>140</v>
      </c>
      <c r="F60" s="50" t="s">
        <v>27</v>
      </c>
      <c r="G60" s="50" t="s">
        <v>141</v>
      </c>
    </row>
    <row r="61" spans="1:8" s="50" customFormat="1" x14ac:dyDescent="0.2"/>
    <row r="62" spans="1:8" s="50" customFormat="1" ht="16" x14ac:dyDescent="0.2">
      <c r="A62" s="49" t="s">
        <v>0</v>
      </c>
      <c r="B62" s="49" t="s">
        <v>146</v>
      </c>
    </row>
    <row r="63" spans="1:8" s="50" customFormat="1" x14ac:dyDescent="0.2">
      <c r="A63" s="50" t="s">
        <v>1</v>
      </c>
      <c r="B63" s="50" t="s">
        <v>104</v>
      </c>
    </row>
    <row r="64" spans="1:8" s="50" customFormat="1" x14ac:dyDescent="0.2">
      <c r="A64" s="50" t="s">
        <v>2</v>
      </c>
      <c r="B64" s="50">
        <v>1</v>
      </c>
    </row>
    <row r="65" spans="1:8" s="50" customFormat="1" x14ac:dyDescent="0.2">
      <c r="A65" s="50" t="s">
        <v>3</v>
      </c>
      <c r="B65" s="3" t="s">
        <v>148</v>
      </c>
    </row>
    <row r="66" spans="1:8" s="50" customFormat="1" x14ac:dyDescent="0.2">
      <c r="A66" s="50" t="s">
        <v>4</v>
      </c>
      <c r="B66" s="50" t="s">
        <v>5</v>
      </c>
    </row>
    <row r="67" spans="1:8" s="50" customFormat="1" x14ac:dyDescent="0.2">
      <c r="A67" s="50" t="s">
        <v>6</v>
      </c>
      <c r="B67" s="50" t="s">
        <v>17</v>
      </c>
    </row>
    <row r="68" spans="1:8" s="50" customFormat="1" x14ac:dyDescent="0.2">
      <c r="A68" s="50" t="s">
        <v>9</v>
      </c>
      <c r="B68" s="50" t="s">
        <v>137</v>
      </c>
    </row>
    <row r="69" spans="1:8" s="50" customFormat="1" ht="16" x14ac:dyDescent="0.2">
      <c r="A69" s="49" t="s">
        <v>10</v>
      </c>
    </row>
    <row r="70" spans="1:8" s="50" customFormat="1" x14ac:dyDescent="0.2">
      <c r="A70" s="50" t="s">
        <v>11</v>
      </c>
      <c r="B70" s="50" t="s">
        <v>12</v>
      </c>
      <c r="C70" s="50" t="s">
        <v>1</v>
      </c>
      <c r="D70" s="50" t="s">
        <v>6</v>
      </c>
      <c r="E70" s="50" t="s">
        <v>13</v>
      </c>
      <c r="F70" s="50" t="s">
        <v>4</v>
      </c>
      <c r="G70" s="50" t="s">
        <v>9</v>
      </c>
      <c r="H70" s="50" t="s">
        <v>3</v>
      </c>
    </row>
    <row r="71" spans="1:8" s="50" customFormat="1" x14ac:dyDescent="0.2">
      <c r="A71" s="50" t="str">
        <f>B62</f>
        <v>heat production, at co-generation plastic waste-fired power plant, post, pipeline 200km, storage 1000m</v>
      </c>
      <c r="B71" s="50">
        <v>1</v>
      </c>
      <c r="C71" s="50" t="str">
        <f>B63</f>
        <v>CH</v>
      </c>
      <c r="D71" s="50" t="s">
        <v>17</v>
      </c>
      <c r="F71" s="50" t="s">
        <v>15</v>
      </c>
      <c r="G71" s="50" t="s">
        <v>16</v>
      </c>
      <c r="H71" s="51" t="str">
        <f>B65</f>
        <v>heat, from plastic waste mixture, municipal incineration, energy allocation</v>
      </c>
    </row>
    <row r="72" spans="1:8" s="50" customFormat="1" x14ac:dyDescent="0.2">
      <c r="A72" s="50" t="s">
        <v>123</v>
      </c>
      <c r="B72" s="50">
        <v>1.1000000000000001</v>
      </c>
      <c r="C72" s="50" t="s">
        <v>104</v>
      </c>
      <c r="D72" s="50" t="s">
        <v>17</v>
      </c>
      <c r="F72" s="50" t="s">
        <v>18</v>
      </c>
      <c r="G72" s="50" t="s">
        <v>16</v>
      </c>
      <c r="H72" s="50" t="s">
        <v>124</v>
      </c>
    </row>
    <row r="73" spans="1:8" s="50" customFormat="1" x14ac:dyDescent="0.2">
      <c r="A73" s="50" t="s">
        <v>138</v>
      </c>
      <c r="B73" s="50">
        <f>0.9*B72*2.31*0.09</f>
        <v>0.205821</v>
      </c>
      <c r="C73" s="50" t="s">
        <v>103</v>
      </c>
      <c r="D73" s="50" t="s">
        <v>7</v>
      </c>
      <c r="F73" s="50" t="s">
        <v>18</v>
      </c>
      <c r="H73" s="50" t="s">
        <v>138</v>
      </c>
    </row>
    <row r="74" spans="1:8" s="50" customFormat="1" x14ac:dyDescent="0.2">
      <c r="A74" s="50" t="s">
        <v>151</v>
      </c>
      <c r="B74" s="50">
        <f>B73*-1</f>
        <v>-0.205821</v>
      </c>
      <c r="D74" s="50" t="s">
        <v>7</v>
      </c>
      <c r="E74" s="50" t="s">
        <v>140</v>
      </c>
      <c r="F74" s="50" t="s">
        <v>27</v>
      </c>
      <c r="G74" s="50" t="s">
        <v>141</v>
      </c>
    </row>
    <row r="75" spans="1:8" s="50" customFormat="1" x14ac:dyDescent="0.2"/>
    <row r="76" spans="1:8" ht="16" x14ac:dyDescent="0.2">
      <c r="A76" s="1" t="s">
        <v>0</v>
      </c>
      <c r="B76" s="47" t="s">
        <v>130</v>
      </c>
    </row>
    <row r="77" spans="1:8" x14ac:dyDescent="0.2">
      <c r="A77" t="s">
        <v>1</v>
      </c>
      <c r="B77" s="3" t="s">
        <v>104</v>
      </c>
    </row>
    <row r="78" spans="1:8" x14ac:dyDescent="0.2">
      <c r="A78" t="s">
        <v>2</v>
      </c>
      <c r="B78" s="3">
        <v>1</v>
      </c>
    </row>
    <row r="79" spans="1:8" x14ac:dyDescent="0.2">
      <c r="A79" t="s">
        <v>3</v>
      </c>
      <c r="B79" s="3" t="s">
        <v>130</v>
      </c>
    </row>
    <row r="80" spans="1:8" x14ac:dyDescent="0.2">
      <c r="A80" t="s">
        <v>4</v>
      </c>
      <c r="B80" s="3" t="s">
        <v>5</v>
      </c>
    </row>
    <row r="81" spans="1:8" x14ac:dyDescent="0.2">
      <c r="A81" t="s">
        <v>6</v>
      </c>
      <c r="B81" s="3" t="s">
        <v>17</v>
      </c>
    </row>
    <row r="82" spans="1:8" x14ac:dyDescent="0.2">
      <c r="A82" t="s">
        <v>8</v>
      </c>
      <c r="B82" s="3" t="s">
        <v>122</v>
      </c>
    </row>
    <row r="83" spans="1:8" x14ac:dyDescent="0.2">
      <c r="A83" t="s">
        <v>9</v>
      </c>
      <c r="B83" s="3" t="s">
        <v>135</v>
      </c>
    </row>
    <row r="84" spans="1:8" ht="16" x14ac:dyDescent="0.2">
      <c r="A84" s="1" t="s">
        <v>10</v>
      </c>
    </row>
    <row r="85" spans="1:8" x14ac:dyDescent="0.2">
      <c r="A85" t="s">
        <v>11</v>
      </c>
      <c r="B85" s="3" t="s">
        <v>12</v>
      </c>
      <c r="C85" t="s">
        <v>1</v>
      </c>
      <c r="D85" t="s">
        <v>6</v>
      </c>
      <c r="E85" t="s">
        <v>13</v>
      </c>
      <c r="F85" t="s">
        <v>4</v>
      </c>
      <c r="G85" t="s">
        <v>9</v>
      </c>
      <c r="H85" t="s">
        <v>3</v>
      </c>
    </row>
    <row r="86" spans="1:8" x14ac:dyDescent="0.2">
      <c r="A86" s="3" t="str">
        <f>B76</f>
        <v>heat production, from biowaste, municipal incineration, energy allocation</v>
      </c>
      <c r="B86" s="3">
        <v>1</v>
      </c>
      <c r="C86" s="3" t="str">
        <f>B77</f>
        <v>CH</v>
      </c>
      <c r="D86" s="3" t="str">
        <f>B81</f>
        <v>megajoule</v>
      </c>
      <c r="F86" t="s">
        <v>15</v>
      </c>
      <c r="G86" t="s">
        <v>16</v>
      </c>
      <c r="H86" s="3" t="str">
        <f>B79</f>
        <v>heat production, from biowaste, municipal incineration, energy allocation</v>
      </c>
    </row>
    <row r="87" spans="1:8" x14ac:dyDescent="0.2">
      <c r="A87" t="s">
        <v>133</v>
      </c>
      <c r="B87" s="2">
        <f>((1/1.01)*(1.01/(1.01+0.42)))*-1</f>
        <v>-0.69930069930069938</v>
      </c>
      <c r="C87" s="3" t="str">
        <f>B77</f>
        <v>CH</v>
      </c>
      <c r="D87" t="s">
        <v>7</v>
      </c>
      <c r="F87" t="s">
        <v>18</v>
      </c>
      <c r="H87" t="s">
        <v>134</v>
      </c>
    </row>
    <row r="89" spans="1:8" ht="16" x14ac:dyDescent="0.2">
      <c r="A89" s="1" t="s">
        <v>0</v>
      </c>
      <c r="B89" s="47" t="s">
        <v>131</v>
      </c>
    </row>
    <row r="90" spans="1:8" x14ac:dyDescent="0.2">
      <c r="A90" t="s">
        <v>1</v>
      </c>
      <c r="B90" s="3" t="s">
        <v>104</v>
      </c>
    </row>
    <row r="91" spans="1:8" x14ac:dyDescent="0.2">
      <c r="A91" t="s">
        <v>2</v>
      </c>
      <c r="B91" s="3">
        <v>1</v>
      </c>
    </row>
    <row r="92" spans="1:8" x14ac:dyDescent="0.2">
      <c r="A92" t="s">
        <v>3</v>
      </c>
      <c r="B92" s="3" t="s">
        <v>132</v>
      </c>
    </row>
    <row r="93" spans="1:8" x14ac:dyDescent="0.2">
      <c r="A93" t="s">
        <v>4</v>
      </c>
      <c r="B93" s="3" t="s">
        <v>5</v>
      </c>
    </row>
    <row r="94" spans="1:8" x14ac:dyDescent="0.2">
      <c r="A94" t="s">
        <v>6</v>
      </c>
      <c r="B94" s="3" t="s">
        <v>126</v>
      </c>
    </row>
    <row r="95" spans="1:8" x14ac:dyDescent="0.2">
      <c r="A95" t="s">
        <v>8</v>
      </c>
      <c r="B95" s="3" t="s">
        <v>122</v>
      </c>
    </row>
    <row r="96" spans="1:8" x14ac:dyDescent="0.2">
      <c r="A96" t="s">
        <v>9</v>
      </c>
      <c r="B96" s="3" t="s">
        <v>136</v>
      </c>
    </row>
    <row r="97" spans="1:8" ht="16" x14ac:dyDescent="0.2">
      <c r="A97" s="1" t="s">
        <v>10</v>
      </c>
    </row>
    <row r="98" spans="1:8" x14ac:dyDescent="0.2">
      <c r="A98" t="s">
        <v>11</v>
      </c>
      <c r="B98" s="3" t="s">
        <v>12</v>
      </c>
      <c r="C98" t="s">
        <v>1</v>
      </c>
      <c r="D98" t="s">
        <v>6</v>
      </c>
      <c r="E98" t="s">
        <v>13</v>
      </c>
      <c r="F98" t="s">
        <v>4</v>
      </c>
      <c r="G98" t="s">
        <v>9</v>
      </c>
      <c r="H98" t="s">
        <v>3</v>
      </c>
    </row>
    <row r="99" spans="1:8" x14ac:dyDescent="0.2">
      <c r="A99" s="3" t="str">
        <f>B89</f>
        <v>electricity production, from biowaste, municipal incineration, energy allocation</v>
      </c>
      <c r="B99" s="3">
        <v>1</v>
      </c>
      <c r="C99" s="3" t="str">
        <f>B90</f>
        <v>CH</v>
      </c>
      <c r="D99" s="3" t="str">
        <f>B94</f>
        <v>kilowatt hour</v>
      </c>
      <c r="F99" t="s">
        <v>15</v>
      </c>
      <c r="G99" t="s">
        <v>16</v>
      </c>
      <c r="H99" s="3" t="str">
        <f>B92</f>
        <v>electricity, from biowaste, municipal incineration, energy allocation</v>
      </c>
    </row>
    <row r="100" spans="1:8" x14ac:dyDescent="0.2">
      <c r="A100" t="s">
        <v>133</v>
      </c>
      <c r="B100" s="2">
        <f>((3.6/0.42)*(0.42/(0.42+1.01)))*-1</f>
        <v>-2.5174825174825175</v>
      </c>
      <c r="C100" s="3" t="str">
        <f>B90</f>
        <v>CH</v>
      </c>
      <c r="D100" t="s">
        <v>7</v>
      </c>
      <c r="F100" t="s">
        <v>18</v>
      </c>
      <c r="H100" t="s">
        <v>134</v>
      </c>
    </row>
    <row r="102" spans="1:8" s="50" customFormat="1" ht="16" x14ac:dyDescent="0.2">
      <c r="A102" s="49" t="s">
        <v>0</v>
      </c>
      <c r="B102" s="49" t="s">
        <v>142</v>
      </c>
    </row>
    <row r="103" spans="1:8" s="50" customFormat="1" x14ac:dyDescent="0.2">
      <c r="A103" s="50" t="s">
        <v>1</v>
      </c>
      <c r="B103" s="50" t="s">
        <v>104</v>
      </c>
    </row>
    <row r="104" spans="1:8" s="50" customFormat="1" x14ac:dyDescent="0.2">
      <c r="A104" s="50" t="s">
        <v>2</v>
      </c>
      <c r="B104" s="50">
        <v>1</v>
      </c>
    </row>
    <row r="105" spans="1:8" s="50" customFormat="1" x14ac:dyDescent="0.2">
      <c r="A105" s="50" t="s">
        <v>9</v>
      </c>
      <c r="B105" s="50" t="s">
        <v>137</v>
      </c>
    </row>
    <row r="106" spans="1:8" s="50" customFormat="1" x14ac:dyDescent="0.2">
      <c r="A106" s="50" t="s">
        <v>3</v>
      </c>
      <c r="B106" s="3" t="s">
        <v>132</v>
      </c>
    </row>
    <row r="107" spans="1:8" s="50" customFormat="1" x14ac:dyDescent="0.2">
      <c r="A107" s="50" t="s">
        <v>4</v>
      </c>
      <c r="B107" s="50" t="s">
        <v>5</v>
      </c>
    </row>
    <row r="108" spans="1:8" s="50" customFormat="1" x14ac:dyDescent="0.2">
      <c r="A108" s="50" t="s">
        <v>6</v>
      </c>
      <c r="B108" s="50" t="s">
        <v>126</v>
      </c>
    </row>
    <row r="109" spans="1:8" s="50" customFormat="1" ht="16" x14ac:dyDescent="0.2">
      <c r="A109" s="49" t="s">
        <v>10</v>
      </c>
    </row>
    <row r="110" spans="1:8" s="50" customFormat="1" x14ac:dyDescent="0.2">
      <c r="A110" s="50" t="s">
        <v>11</v>
      </c>
      <c r="B110" s="50" t="s">
        <v>12</v>
      </c>
      <c r="C110" s="50" t="s">
        <v>1</v>
      </c>
      <c r="D110" s="50" t="s">
        <v>6</v>
      </c>
      <c r="E110" s="50" t="s">
        <v>13</v>
      </c>
      <c r="F110" s="50" t="s">
        <v>4</v>
      </c>
      <c r="G110" s="50" t="s">
        <v>9</v>
      </c>
      <c r="H110" s="50" t="s">
        <v>3</v>
      </c>
    </row>
    <row r="111" spans="1:8" s="50" customFormat="1" x14ac:dyDescent="0.2">
      <c r="A111" s="50" t="str">
        <f>B102</f>
        <v>electricity production, at co-generation biowaste-fired power plant, post, pipeline 200km, storage 1000m</v>
      </c>
      <c r="B111" s="50">
        <v>1</v>
      </c>
      <c r="C111" s="50" t="str">
        <f>B103</f>
        <v>CH</v>
      </c>
      <c r="D111" s="50" t="s">
        <v>126</v>
      </c>
      <c r="F111" s="50" t="s">
        <v>15</v>
      </c>
      <c r="G111" s="50" t="s">
        <v>16</v>
      </c>
      <c r="H111" s="51" t="str">
        <f>B106</f>
        <v>electricity, from biowaste, municipal incineration, energy allocation</v>
      </c>
    </row>
    <row r="112" spans="1:8" s="50" customFormat="1" x14ac:dyDescent="0.2">
      <c r="A112" s="50" t="s">
        <v>131</v>
      </c>
      <c r="B112" s="50">
        <v>1.1000000000000001</v>
      </c>
      <c r="C112" s="50" t="s">
        <v>104</v>
      </c>
      <c r="D112" s="50" t="s">
        <v>126</v>
      </c>
      <c r="F112" s="50" t="s">
        <v>18</v>
      </c>
      <c r="G112" s="50" t="s">
        <v>16</v>
      </c>
      <c r="H112" s="50" t="s">
        <v>132</v>
      </c>
    </row>
    <row r="113" spans="1:8" s="50" customFormat="1" x14ac:dyDescent="0.2">
      <c r="A113" s="50" t="s">
        <v>138</v>
      </c>
      <c r="B113" s="50">
        <f>0.9*B112*0.516*2.52</f>
        <v>1.2873168000000001</v>
      </c>
      <c r="C113" s="50" t="s">
        <v>103</v>
      </c>
      <c r="D113" s="50" t="s">
        <v>7</v>
      </c>
      <c r="F113" s="50" t="s">
        <v>18</v>
      </c>
      <c r="H113" s="50" t="s">
        <v>138</v>
      </c>
    </row>
    <row r="114" spans="1:8" s="50" customFormat="1" x14ac:dyDescent="0.2">
      <c r="A114" s="50" t="s">
        <v>139</v>
      </c>
      <c r="B114" s="50">
        <f>B113*-2</f>
        <v>-2.5746336000000003</v>
      </c>
      <c r="D114" s="50" t="s">
        <v>7</v>
      </c>
      <c r="E114" s="50" t="s">
        <v>140</v>
      </c>
      <c r="F114" s="50" t="s">
        <v>27</v>
      </c>
      <c r="G114" s="50" t="s">
        <v>141</v>
      </c>
    </row>
    <row r="115" spans="1:8" s="50" customFormat="1" x14ac:dyDescent="0.2"/>
    <row r="116" spans="1:8" s="50" customFormat="1" ht="16" x14ac:dyDescent="0.2">
      <c r="A116" s="49" t="s">
        <v>0</v>
      </c>
      <c r="B116" s="49" t="s">
        <v>143</v>
      </c>
    </row>
    <row r="117" spans="1:8" s="50" customFormat="1" x14ac:dyDescent="0.2">
      <c r="A117" s="50" t="s">
        <v>1</v>
      </c>
      <c r="B117" s="50" t="s">
        <v>104</v>
      </c>
    </row>
    <row r="118" spans="1:8" s="50" customFormat="1" x14ac:dyDescent="0.2">
      <c r="A118" s="50" t="s">
        <v>2</v>
      </c>
      <c r="B118" s="50">
        <v>1</v>
      </c>
    </row>
    <row r="119" spans="1:8" s="50" customFormat="1" x14ac:dyDescent="0.2">
      <c r="A119" s="50" t="s">
        <v>3</v>
      </c>
      <c r="B119" s="3" t="s">
        <v>144</v>
      </c>
    </row>
    <row r="120" spans="1:8" s="50" customFormat="1" x14ac:dyDescent="0.2">
      <c r="A120" s="50" t="s">
        <v>4</v>
      </c>
      <c r="B120" s="50" t="s">
        <v>5</v>
      </c>
    </row>
    <row r="121" spans="1:8" s="50" customFormat="1" x14ac:dyDescent="0.2">
      <c r="A121" s="50" t="s">
        <v>6</v>
      </c>
      <c r="B121" s="50" t="s">
        <v>17</v>
      </c>
    </row>
    <row r="122" spans="1:8" s="50" customFormat="1" x14ac:dyDescent="0.2">
      <c r="A122" s="50" t="s">
        <v>9</v>
      </c>
      <c r="B122" s="50" t="s">
        <v>137</v>
      </c>
    </row>
    <row r="123" spans="1:8" s="50" customFormat="1" ht="16" x14ac:dyDescent="0.2">
      <c r="A123" s="49" t="s">
        <v>10</v>
      </c>
    </row>
    <row r="124" spans="1:8" s="50" customFormat="1" x14ac:dyDescent="0.2">
      <c r="A124" s="50" t="s">
        <v>11</v>
      </c>
      <c r="B124" s="50" t="s">
        <v>12</v>
      </c>
      <c r="C124" s="50" t="s">
        <v>1</v>
      </c>
      <c r="D124" s="50" t="s">
        <v>6</v>
      </c>
      <c r="E124" s="50" t="s">
        <v>13</v>
      </c>
      <c r="F124" s="50" t="s">
        <v>4</v>
      </c>
      <c r="G124" s="50" t="s">
        <v>9</v>
      </c>
      <c r="H124" s="50" t="s">
        <v>3</v>
      </c>
    </row>
    <row r="125" spans="1:8" s="50" customFormat="1" x14ac:dyDescent="0.2">
      <c r="A125" s="50" t="str">
        <f>B116</f>
        <v>heat production, at co-generation biowaste-fired power plant, post, pipeline 200km, storage 1000m</v>
      </c>
      <c r="B125" s="50">
        <v>1</v>
      </c>
      <c r="C125" s="50" t="str">
        <f>B117</f>
        <v>CH</v>
      </c>
      <c r="D125" s="50" t="s">
        <v>17</v>
      </c>
      <c r="F125" s="50" t="s">
        <v>15</v>
      </c>
      <c r="G125" s="50" t="s">
        <v>16</v>
      </c>
      <c r="H125" s="51" t="str">
        <f>B119</f>
        <v>heat, from biowaste, municipal incineration, energy allocation</v>
      </c>
    </row>
    <row r="126" spans="1:8" s="50" customFormat="1" x14ac:dyDescent="0.2">
      <c r="A126" s="50" t="s">
        <v>130</v>
      </c>
      <c r="B126" s="50">
        <v>1.1000000000000001</v>
      </c>
      <c r="C126" s="50" t="s">
        <v>104</v>
      </c>
      <c r="D126" s="50" t="s">
        <v>17</v>
      </c>
      <c r="F126" s="50" t="s">
        <v>18</v>
      </c>
      <c r="G126" s="50" t="s">
        <v>16</v>
      </c>
      <c r="H126" s="50" t="s">
        <v>130</v>
      </c>
    </row>
    <row r="127" spans="1:8" s="50" customFormat="1" x14ac:dyDescent="0.2">
      <c r="A127" s="50" t="s">
        <v>138</v>
      </c>
      <c r="B127" s="50">
        <f>0.9*B126*0.516*0.7</f>
        <v>0.35758800000000002</v>
      </c>
      <c r="C127" s="50" t="s">
        <v>103</v>
      </c>
      <c r="D127" s="50" t="s">
        <v>7</v>
      </c>
      <c r="F127" s="50" t="s">
        <v>18</v>
      </c>
      <c r="H127" s="50" t="s">
        <v>138</v>
      </c>
    </row>
    <row r="128" spans="1:8" s="50" customFormat="1" x14ac:dyDescent="0.2">
      <c r="A128" s="50" t="s">
        <v>139</v>
      </c>
      <c r="B128" s="50">
        <f>B127*-2</f>
        <v>-0.71517600000000003</v>
      </c>
      <c r="D128" s="50" t="s">
        <v>7</v>
      </c>
      <c r="E128" s="50" t="s">
        <v>140</v>
      </c>
      <c r="F128" s="50" t="s">
        <v>27</v>
      </c>
      <c r="G128" s="50" t="s">
        <v>141</v>
      </c>
    </row>
    <row r="129" spans="1:8" s="50" customFormat="1" x14ac:dyDescent="0.2"/>
    <row r="130" spans="1:8" s="50" customFormat="1" ht="16" x14ac:dyDescent="0.2">
      <c r="A130" s="49" t="s">
        <v>0</v>
      </c>
      <c r="B130" s="49" t="s">
        <v>152</v>
      </c>
    </row>
    <row r="131" spans="1:8" s="50" customFormat="1" x14ac:dyDescent="0.2">
      <c r="A131" s="50" t="s">
        <v>1</v>
      </c>
      <c r="B131" s="50" t="s">
        <v>104</v>
      </c>
    </row>
    <row r="132" spans="1:8" s="50" customFormat="1" x14ac:dyDescent="0.2">
      <c r="A132" s="50" t="s">
        <v>2</v>
      </c>
      <c r="B132" s="50">
        <v>1</v>
      </c>
    </row>
    <row r="133" spans="1:8" s="50" customFormat="1" x14ac:dyDescent="0.2">
      <c r="A133" s="50" t="s">
        <v>3</v>
      </c>
      <c r="B133" s="3" t="s">
        <v>153</v>
      </c>
    </row>
    <row r="134" spans="1:8" s="50" customFormat="1" x14ac:dyDescent="0.2">
      <c r="A134" s="50" t="s">
        <v>4</v>
      </c>
      <c r="B134" s="50" t="s">
        <v>5</v>
      </c>
    </row>
    <row r="135" spans="1:8" s="50" customFormat="1" x14ac:dyDescent="0.2">
      <c r="A135" s="50" t="s">
        <v>6</v>
      </c>
      <c r="B135" s="50" t="s">
        <v>126</v>
      </c>
    </row>
    <row r="136" spans="1:8" s="50" customFormat="1" x14ac:dyDescent="0.2">
      <c r="A136" s="50" t="s">
        <v>9</v>
      </c>
      <c r="B136" s="50" t="s">
        <v>155</v>
      </c>
    </row>
    <row r="137" spans="1:8" s="50" customFormat="1" ht="16" x14ac:dyDescent="0.2">
      <c r="A137" s="49" t="s">
        <v>10</v>
      </c>
    </row>
    <row r="138" spans="1:8" s="50" customFormat="1" x14ac:dyDescent="0.2">
      <c r="A138" s="50" t="s">
        <v>11</v>
      </c>
      <c r="B138" s="50" t="s">
        <v>12</v>
      </c>
      <c r="C138" s="50" t="s">
        <v>1</v>
      </c>
      <c r="D138" s="50" t="s">
        <v>6</v>
      </c>
      <c r="E138" s="50" t="s">
        <v>13</v>
      </c>
      <c r="F138" s="50" t="s">
        <v>4</v>
      </c>
      <c r="G138" s="50" t="s">
        <v>9</v>
      </c>
      <c r="H138" s="50" t="s">
        <v>3</v>
      </c>
    </row>
    <row r="139" spans="1:8" s="50" customFormat="1" x14ac:dyDescent="0.2">
      <c r="A139" s="50" t="str">
        <f>B130</f>
        <v>electricity import, from neighboring countries</v>
      </c>
      <c r="B139" s="50">
        <v>1</v>
      </c>
      <c r="C139" s="50" t="str">
        <f>B131</f>
        <v>CH</v>
      </c>
      <c r="D139" s="50" t="str">
        <f>B135</f>
        <v>kilowatt hour</v>
      </c>
      <c r="F139" s="50" t="s">
        <v>15</v>
      </c>
      <c r="G139" s="50" t="s">
        <v>16</v>
      </c>
      <c r="H139" s="51" t="str">
        <f>B133</f>
        <v>electricity, high voltage</v>
      </c>
    </row>
    <row r="140" spans="1:8" s="50" customFormat="1" x14ac:dyDescent="0.2">
      <c r="A140" s="50" t="s">
        <v>154</v>
      </c>
      <c r="B140" s="50">
        <v>1</v>
      </c>
      <c r="C140" s="50" t="s">
        <v>103</v>
      </c>
      <c r="D140" s="50" t="s">
        <v>126</v>
      </c>
      <c r="F140" s="50" t="s">
        <v>18</v>
      </c>
      <c r="G140" s="50" t="s">
        <v>16</v>
      </c>
      <c r="H140" s="50" t="s">
        <v>153</v>
      </c>
    </row>
    <row r="141" spans="1:8" s="50" customFormat="1" x14ac:dyDescent="0.2"/>
    <row r="142" spans="1:8" s="50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4.5" bestFit="1" customWidth="1"/>
    <col min="2" max="2" width="50" customWidth="1"/>
    <col min="3" max="3" width="16.6640625" customWidth="1"/>
    <col min="4" max="4" width="22" customWidth="1"/>
    <col min="5" max="5" width="13.5" bestFit="1" customWidth="1"/>
    <col min="6" max="6" width="25.5" bestFit="1" customWidth="1"/>
    <col min="7" max="7" width="16" customWidth="1"/>
  </cols>
  <sheetData>
    <row r="1" spans="1:2" x14ac:dyDescent="0.2">
      <c r="A1" t="s">
        <v>22</v>
      </c>
    </row>
    <row r="2" spans="1:2" x14ac:dyDescent="0.2">
      <c r="A2" s="4" t="s">
        <v>42</v>
      </c>
    </row>
    <row r="3" spans="1:2" x14ac:dyDescent="0.2">
      <c r="A3" t="s">
        <v>23</v>
      </c>
      <c r="B3">
        <v>1.0550558999999999E-3</v>
      </c>
    </row>
    <row r="4" spans="1:2" x14ac:dyDescent="0.2">
      <c r="A4" t="s">
        <v>25</v>
      </c>
      <c r="B4">
        <v>3.7850000000000001</v>
      </c>
    </row>
    <row r="5" spans="1:2" x14ac:dyDescent="0.2">
      <c r="A5" t="s">
        <v>26</v>
      </c>
      <c r="B5">
        <v>29.7</v>
      </c>
    </row>
    <row r="6" spans="1:2" x14ac:dyDescent="0.2">
      <c r="A6" t="s">
        <v>112</v>
      </c>
      <c r="B6">
        <v>37.200000000000003</v>
      </c>
    </row>
    <row r="7" spans="1:2" x14ac:dyDescent="0.2">
      <c r="A7" t="s">
        <v>113</v>
      </c>
      <c r="B7">
        <v>43</v>
      </c>
    </row>
    <row r="8" spans="1:2" x14ac:dyDescent="0.2">
      <c r="A8" t="s">
        <v>29</v>
      </c>
      <c r="B8">
        <v>0.4536</v>
      </c>
    </row>
    <row r="9" spans="1:2" x14ac:dyDescent="0.2">
      <c r="A9" t="s">
        <v>31</v>
      </c>
      <c r="B9">
        <v>1.61</v>
      </c>
    </row>
    <row r="10" spans="1:2" x14ac:dyDescent="0.2">
      <c r="A10" t="s">
        <v>32</v>
      </c>
      <c r="B10">
        <f>1/39.37</f>
        <v>2.5400050800101603E-2</v>
      </c>
    </row>
    <row r="11" spans="1:2" x14ac:dyDescent="0.2">
      <c r="A11" t="s">
        <v>33</v>
      </c>
      <c r="B11">
        <v>10000</v>
      </c>
    </row>
    <row r="12" spans="1:2" x14ac:dyDescent="0.2">
      <c r="A12" t="s">
        <v>40</v>
      </c>
      <c r="B12">
        <v>0.78900000000000003</v>
      </c>
    </row>
    <row r="13" spans="1:2" x14ac:dyDescent="0.2">
      <c r="A13" t="s">
        <v>41</v>
      </c>
      <c r="B13">
        <v>4047</v>
      </c>
    </row>
    <row r="14" spans="1:2" x14ac:dyDescent="0.2">
      <c r="A14" t="s">
        <v>92</v>
      </c>
      <c r="B14">
        <v>0.52200000000000002</v>
      </c>
    </row>
    <row r="15" spans="1:2" x14ac:dyDescent="0.2">
      <c r="A15" t="s">
        <v>93</v>
      </c>
      <c r="B15">
        <f>B14*(44/12)</f>
        <v>1.9139999999999999</v>
      </c>
    </row>
    <row r="16" spans="1:2" x14ac:dyDescent="0.2">
      <c r="A16" t="s">
        <v>109</v>
      </c>
      <c r="B16">
        <v>2.85</v>
      </c>
    </row>
    <row r="17" spans="1:10" x14ac:dyDescent="0.2">
      <c r="A17" t="s">
        <v>114</v>
      </c>
      <c r="B17">
        <v>3.15</v>
      </c>
    </row>
    <row r="18" spans="1:10" x14ac:dyDescent="0.2">
      <c r="A18" t="s">
        <v>115</v>
      </c>
      <c r="B18">
        <v>0.90700000000000003</v>
      </c>
    </row>
    <row r="19" spans="1:10" x14ac:dyDescent="0.2">
      <c r="A19" s="4" t="s">
        <v>64</v>
      </c>
      <c r="G19" s="3"/>
    </row>
    <row r="20" spans="1:10" x14ac:dyDescent="0.2">
      <c r="A20" s="4" t="s">
        <v>14</v>
      </c>
      <c r="G20" s="3"/>
    </row>
    <row r="21" spans="1:10" x14ac:dyDescent="0.2">
      <c r="B21" s="5"/>
      <c r="C21" s="6" t="s">
        <v>43</v>
      </c>
      <c r="D21" s="7"/>
      <c r="E21" s="8"/>
      <c r="F21" s="8"/>
      <c r="G21" s="8"/>
      <c r="H21" s="19"/>
    </row>
    <row r="22" spans="1:10" x14ac:dyDescent="0.2">
      <c r="B22" s="9"/>
      <c r="C22" s="10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20" t="s">
        <v>49</v>
      </c>
    </row>
    <row r="23" spans="1:10" x14ac:dyDescent="0.2">
      <c r="B23" s="12" t="s">
        <v>50</v>
      </c>
      <c r="C23" s="13">
        <v>1.7889999999999999</v>
      </c>
      <c r="D23" s="13">
        <v>1.7889999999999999</v>
      </c>
      <c r="E23" s="13">
        <v>1.7889999999999999</v>
      </c>
      <c r="F23" s="13">
        <v>1.7889999999999999</v>
      </c>
      <c r="G23" s="13">
        <v>1.7889999999999999</v>
      </c>
      <c r="H23" s="13">
        <v>1.7889999999999999</v>
      </c>
    </row>
    <row r="24" spans="1:10" x14ac:dyDescent="0.2">
      <c r="B24" s="12" t="s">
        <v>51</v>
      </c>
      <c r="C24" s="24">
        <v>80</v>
      </c>
      <c r="D24" s="26">
        <v>80</v>
      </c>
      <c r="E24" s="26">
        <v>80</v>
      </c>
      <c r="F24" s="26">
        <v>80</v>
      </c>
      <c r="G24" s="26">
        <v>80</v>
      </c>
      <c r="H24" s="26">
        <v>80</v>
      </c>
    </row>
    <row r="25" spans="1:10" x14ac:dyDescent="0.2">
      <c r="B25" s="34" t="s">
        <v>91</v>
      </c>
      <c r="C25" s="17">
        <f>8576/1000</f>
        <v>8.5760000000000005</v>
      </c>
      <c r="D25" s="17">
        <f>8823/1000</f>
        <v>8.8230000000000004</v>
      </c>
      <c r="E25" s="17">
        <f>7294/1000</f>
        <v>7.2939999999999996</v>
      </c>
      <c r="F25" s="17">
        <f>7451/1000</f>
        <v>7.4509999999999996</v>
      </c>
      <c r="G25" s="18">
        <f>7310/1000</f>
        <v>7.31</v>
      </c>
      <c r="H25" s="21">
        <f>7874/1000</f>
        <v>7.8739999999999997</v>
      </c>
    </row>
    <row r="27" spans="1:10" x14ac:dyDescent="0.2">
      <c r="C27" t="s">
        <v>8</v>
      </c>
      <c r="G27" s="3"/>
    </row>
    <row r="28" spans="1:10" x14ac:dyDescent="0.2">
      <c r="A28" t="s">
        <v>53</v>
      </c>
      <c r="B28">
        <v>2.36</v>
      </c>
      <c r="C28" t="s">
        <v>19</v>
      </c>
      <c r="J28">
        <f>1/0.013</f>
        <v>76.92307692307692</v>
      </c>
    </row>
    <row r="29" spans="1:10" x14ac:dyDescent="0.2">
      <c r="A29" t="s">
        <v>54</v>
      </c>
      <c r="B29">
        <v>0.107</v>
      </c>
      <c r="C29" t="s">
        <v>52</v>
      </c>
    </row>
    <row r="30" spans="1:10" x14ac:dyDescent="0.2">
      <c r="A30" t="s">
        <v>55</v>
      </c>
      <c r="B30">
        <v>0.82</v>
      </c>
      <c r="G30" s="3"/>
    </row>
    <row r="32" spans="1:10" x14ac:dyDescent="0.2">
      <c r="A32" t="s">
        <v>83</v>
      </c>
    </row>
    <row r="33" spans="1:8" x14ac:dyDescent="0.2">
      <c r="A33" t="s">
        <v>56</v>
      </c>
    </row>
    <row r="34" spans="1:8" x14ac:dyDescent="0.2">
      <c r="A34" t="s">
        <v>84</v>
      </c>
      <c r="B34" s="2">
        <f>((1/C24)/(B4*B12))*1000</f>
        <v>4.1856906305826644</v>
      </c>
      <c r="C34" t="s">
        <v>34</v>
      </c>
      <c r="F34" s="4" t="s">
        <v>65</v>
      </c>
      <c r="G34" s="4" t="s">
        <v>66</v>
      </c>
    </row>
    <row r="35" spans="1:8" x14ac:dyDescent="0.2">
      <c r="A35" t="s">
        <v>57</v>
      </c>
      <c r="D35" t="s">
        <v>60</v>
      </c>
      <c r="F35" t="s">
        <v>62</v>
      </c>
      <c r="G35" t="s">
        <v>67</v>
      </c>
    </row>
    <row r="36" spans="1:8" x14ac:dyDescent="0.2">
      <c r="A36" t="s">
        <v>63</v>
      </c>
      <c r="B36">
        <v>1</v>
      </c>
      <c r="C36" t="s">
        <v>34</v>
      </c>
      <c r="D36" s="2">
        <f>B36*($B$28/$B$4*$B$12*$B$30)</f>
        <v>0.40340100396301187</v>
      </c>
      <c r="E36" s="22" t="s">
        <v>61</v>
      </c>
      <c r="F36" s="23">
        <f>D36/(D36+D37)</f>
        <v>0.86288984699852078</v>
      </c>
      <c r="G36" s="23">
        <f>(B36*$B$5)/((B36*$B$5)+(B37*3.6))</f>
        <v>0.93230283093081379</v>
      </c>
    </row>
    <row r="37" spans="1:8" x14ac:dyDescent="0.2">
      <c r="A37" t="s">
        <v>58</v>
      </c>
      <c r="B37" s="2">
        <f>C23/(B4*B12)</f>
        <v>0.59905604304899096</v>
      </c>
      <c r="C37" t="s">
        <v>59</v>
      </c>
      <c r="D37" s="2">
        <f>B37*$B$29</f>
        <v>6.4098996606242034E-2</v>
      </c>
      <c r="E37" s="22" t="s">
        <v>61</v>
      </c>
      <c r="F37" s="23">
        <f>D37/(D37+D36)</f>
        <v>0.13711015300147925</v>
      </c>
      <c r="G37" s="23">
        <f>1-G36</f>
        <v>6.7697169069186214E-2</v>
      </c>
    </row>
    <row r="40" spans="1:8" x14ac:dyDescent="0.2">
      <c r="B40" s="5"/>
      <c r="C40" s="6" t="s">
        <v>43</v>
      </c>
      <c r="D40" s="12"/>
      <c r="E40" s="28"/>
      <c r="F40" s="28"/>
      <c r="G40" s="28"/>
      <c r="H40" s="28"/>
    </row>
    <row r="41" spans="1:8" x14ac:dyDescent="0.2">
      <c r="B41" s="9"/>
      <c r="C41" s="10" t="s">
        <v>69</v>
      </c>
      <c r="D41" s="29"/>
      <c r="E41" s="28"/>
      <c r="F41" s="28"/>
      <c r="G41" s="28"/>
      <c r="H41" s="28"/>
    </row>
    <row r="42" spans="1:8" x14ac:dyDescent="0.2">
      <c r="B42" s="12" t="s">
        <v>50</v>
      </c>
      <c r="C42" s="48">
        <v>4.673</v>
      </c>
      <c r="D42" s="13"/>
      <c r="E42" s="14"/>
      <c r="F42" s="14"/>
      <c r="G42" s="15"/>
      <c r="H42" s="15"/>
    </row>
    <row r="43" spans="1:8" x14ac:dyDescent="0.2">
      <c r="B43" s="12" t="s">
        <v>85</v>
      </c>
      <c r="C43" s="24">
        <v>21.4</v>
      </c>
      <c r="D43" s="24"/>
      <c r="E43" s="26"/>
      <c r="F43" s="26"/>
      <c r="G43" s="27"/>
      <c r="H43" s="27"/>
    </row>
    <row r="44" spans="1:8" x14ac:dyDescent="0.2">
      <c r="B44" s="34" t="s">
        <v>91</v>
      </c>
      <c r="C44" s="35">
        <f>14776/1000</f>
        <v>14.776</v>
      </c>
      <c r="D44" s="26"/>
      <c r="E44" s="26"/>
      <c r="F44" s="26"/>
      <c r="G44" s="27"/>
      <c r="H44" s="27"/>
    </row>
    <row r="47" spans="1:8" x14ac:dyDescent="0.2">
      <c r="A47" t="s">
        <v>74</v>
      </c>
    </row>
    <row r="48" spans="1:8" x14ac:dyDescent="0.2">
      <c r="A48" t="s">
        <v>56</v>
      </c>
    </row>
    <row r="49" spans="1:7" x14ac:dyDescent="0.2">
      <c r="A49" t="s">
        <v>86</v>
      </c>
      <c r="B49" s="2">
        <f>((1/B18/C43)/(B4*B12))*1000</f>
        <v>17.251865060258897</v>
      </c>
      <c r="C49" t="s">
        <v>34</v>
      </c>
      <c r="F49" s="4" t="s">
        <v>65</v>
      </c>
      <c r="G49" s="4" t="s">
        <v>66</v>
      </c>
    </row>
    <row r="50" spans="1:7" x14ac:dyDescent="0.2">
      <c r="A50" t="s">
        <v>57</v>
      </c>
      <c r="D50" t="s">
        <v>60</v>
      </c>
      <c r="F50" t="s">
        <v>62</v>
      </c>
      <c r="G50" t="s">
        <v>67</v>
      </c>
    </row>
    <row r="51" spans="1:7" x14ac:dyDescent="0.2">
      <c r="A51" t="s">
        <v>63</v>
      </c>
      <c r="B51">
        <v>1</v>
      </c>
      <c r="C51" t="s">
        <v>34</v>
      </c>
      <c r="D51" s="2">
        <f>B51*($B$28/$B$4*$B$12*$B$30)</f>
        <v>0.40340100396301187</v>
      </c>
      <c r="E51" s="22" t="s">
        <v>61</v>
      </c>
      <c r="F51" s="23">
        <f>D51/(D51+D52)</f>
        <v>0.70668915382489195</v>
      </c>
      <c r="G51" s="23">
        <f>(B51*$B$5)/((B51*$B$5)+(B52*3.6))</f>
        <v>0.84056914053315945</v>
      </c>
    </row>
    <row r="52" spans="1:7" x14ac:dyDescent="0.2">
      <c r="A52" t="s">
        <v>58</v>
      </c>
      <c r="B52" s="2">
        <f>C42/(B4*B12)</f>
        <v>1.5647785853370233</v>
      </c>
      <c r="C52" t="s">
        <v>59</v>
      </c>
      <c r="D52" s="2">
        <f>B52*$B$29</f>
        <v>0.16743130863106148</v>
      </c>
      <c r="E52" s="22" t="s">
        <v>61</v>
      </c>
      <c r="F52" s="23">
        <f>D52/(D52+D51)</f>
        <v>0.29331084617510816</v>
      </c>
      <c r="G52" s="23">
        <f>1-G51</f>
        <v>0.15943085946684055</v>
      </c>
    </row>
    <row r="56" spans="1:7" x14ac:dyDescent="0.2">
      <c r="B56" s="5"/>
      <c r="C56" s="6" t="s">
        <v>43</v>
      </c>
      <c r="D56" s="7"/>
      <c r="E56" s="7"/>
      <c r="F56" s="32"/>
    </row>
    <row r="57" spans="1:7" x14ac:dyDescent="0.2">
      <c r="B57" s="9"/>
      <c r="C57" s="10" t="s">
        <v>87</v>
      </c>
      <c r="D57" t="s">
        <v>88</v>
      </c>
      <c r="E57" t="s">
        <v>89</v>
      </c>
      <c r="F57" s="33" t="s">
        <v>90</v>
      </c>
    </row>
    <row r="58" spans="1:7" x14ac:dyDescent="0.2">
      <c r="B58" s="12" t="s">
        <v>50</v>
      </c>
      <c r="C58" s="24">
        <v>0</v>
      </c>
      <c r="D58" s="7">
        <v>0</v>
      </c>
      <c r="E58" s="7">
        <v>13.59</v>
      </c>
      <c r="F58" s="32">
        <v>2.4900000000000002</v>
      </c>
    </row>
    <row r="59" spans="1:7" x14ac:dyDescent="0.2">
      <c r="B59" s="12" t="s">
        <v>85</v>
      </c>
      <c r="C59" s="25">
        <f>2.84/B10</f>
        <v>111.81079999999999</v>
      </c>
      <c r="D59" s="30">
        <f>2.81/B10</f>
        <v>110.62969999999999</v>
      </c>
      <c r="E59" s="2">
        <v>9.57</v>
      </c>
      <c r="F59" s="33">
        <v>17.21</v>
      </c>
    </row>
    <row r="60" spans="1:7" x14ac:dyDescent="0.2">
      <c r="B60" s="12" t="s">
        <v>96</v>
      </c>
      <c r="C60" s="36">
        <f>5.63*B8</f>
        <v>2.5537679999999998</v>
      </c>
      <c r="D60">
        <v>5.63</v>
      </c>
      <c r="E60">
        <v>0</v>
      </c>
      <c r="F60" s="33">
        <v>0</v>
      </c>
    </row>
    <row r="61" spans="1:7" x14ac:dyDescent="0.2">
      <c r="B61" s="46" t="s">
        <v>97</v>
      </c>
      <c r="C61" s="2"/>
      <c r="E61">
        <v>16.3</v>
      </c>
      <c r="F61" s="33"/>
    </row>
    <row r="62" spans="1:7" x14ac:dyDescent="0.2">
      <c r="B62" s="46" t="s">
        <v>102</v>
      </c>
      <c r="C62" s="2">
        <v>0.54</v>
      </c>
      <c r="F62" s="33"/>
    </row>
    <row r="63" spans="1:7" x14ac:dyDescent="0.2">
      <c r="B63" s="34" t="s">
        <v>91</v>
      </c>
      <c r="C63" s="31">
        <v>2.36</v>
      </c>
      <c r="D63" s="31"/>
      <c r="E63" s="37">
        <f>25362/1000</f>
        <v>25.361999999999998</v>
      </c>
      <c r="F63" s="38">
        <f>11023/1000</f>
        <v>11.023</v>
      </c>
    </row>
    <row r="64" spans="1:7" x14ac:dyDescent="0.2">
      <c r="B64" s="39" t="s">
        <v>94</v>
      </c>
      <c r="C64" s="40">
        <v>0.84699999999999998</v>
      </c>
      <c r="D64" s="40">
        <v>0.80100000000000005</v>
      </c>
      <c r="E64" s="41">
        <v>0.98</v>
      </c>
      <c r="F64" s="42">
        <v>0.93500000000000005</v>
      </c>
    </row>
    <row r="65" spans="1:6" x14ac:dyDescent="0.2">
      <c r="B65" s="34" t="s">
        <v>95</v>
      </c>
      <c r="C65" s="43">
        <v>0.64400000000000002</v>
      </c>
      <c r="D65" s="43">
        <v>0.60899999999999999</v>
      </c>
      <c r="E65" s="44">
        <v>0.96799999999999997</v>
      </c>
      <c r="F65" s="45">
        <v>0.90100000000000002</v>
      </c>
    </row>
    <row r="67" spans="1:6" x14ac:dyDescent="0.2">
      <c r="C67" t="s">
        <v>99</v>
      </c>
      <c r="D67" t="s">
        <v>100</v>
      </c>
      <c r="E67" t="s">
        <v>101</v>
      </c>
    </row>
    <row r="68" spans="1:6" x14ac:dyDescent="0.2">
      <c r="B68" t="s">
        <v>98</v>
      </c>
      <c r="C68">
        <v>3.03</v>
      </c>
      <c r="D68">
        <v>7.53</v>
      </c>
      <c r="E68">
        <v>0</v>
      </c>
    </row>
    <row r="78" spans="1:6" x14ac:dyDescent="0.2">
      <c r="A78" s="4" t="s">
        <v>68</v>
      </c>
    </row>
    <row r="79" spans="1:6" x14ac:dyDescent="0.2">
      <c r="A79" s="4" t="s">
        <v>14</v>
      </c>
    </row>
    <row r="81" spans="1:7" x14ac:dyDescent="0.2">
      <c r="B81" s="9"/>
      <c r="C81" s="10" t="s">
        <v>71</v>
      </c>
      <c r="D81" s="11" t="s">
        <v>72</v>
      </c>
    </row>
    <row r="82" spans="1:7" x14ac:dyDescent="0.2">
      <c r="B82" s="12" t="s">
        <v>73</v>
      </c>
      <c r="C82" s="24">
        <v>26.1</v>
      </c>
      <c r="D82" s="26">
        <f>(0.13*B5/B12)/3.6</f>
        <v>1.3593155893536122</v>
      </c>
    </row>
    <row r="83" spans="1:7" x14ac:dyDescent="0.2">
      <c r="B83" s="9" t="s">
        <v>70</v>
      </c>
      <c r="C83" s="16">
        <v>85.2</v>
      </c>
      <c r="D83" s="17">
        <f>(1/0.01808)/B5/B12</f>
        <v>2.3603049725507863</v>
      </c>
    </row>
    <row r="85" spans="1:7" x14ac:dyDescent="0.2">
      <c r="A85" t="s">
        <v>74</v>
      </c>
    </row>
    <row r="86" spans="1:7" x14ac:dyDescent="0.2">
      <c r="A86" t="s">
        <v>56</v>
      </c>
    </row>
    <row r="87" spans="1:7" x14ac:dyDescent="0.2">
      <c r="A87" t="s">
        <v>76</v>
      </c>
      <c r="B87">
        <v>1000</v>
      </c>
      <c r="F87" s="4" t="s">
        <v>65</v>
      </c>
      <c r="G87" s="4" t="s">
        <v>66</v>
      </c>
    </row>
    <row r="88" spans="1:7" x14ac:dyDescent="0.2">
      <c r="A88" t="s">
        <v>75</v>
      </c>
      <c r="D88" t="s">
        <v>60</v>
      </c>
      <c r="F88" t="s">
        <v>62</v>
      </c>
      <c r="G88" t="s">
        <v>67</v>
      </c>
    </row>
    <row r="89" spans="1:7" x14ac:dyDescent="0.2">
      <c r="A89" t="s">
        <v>77</v>
      </c>
      <c r="B89" s="27">
        <f>C83*B12</f>
        <v>67.222800000000007</v>
      </c>
      <c r="C89" t="s">
        <v>34</v>
      </c>
      <c r="D89" s="2">
        <f>B89*(B28/B4*B12*B30)</f>
        <v>27.117745009204757</v>
      </c>
      <c r="E89" s="22" t="s">
        <v>61</v>
      </c>
      <c r="F89" s="23">
        <f>D89/(D89+D90)</f>
        <v>0.90663127883451533</v>
      </c>
      <c r="G89" s="23">
        <f>(B89*$B$5)/((B89*$B$5)+(B90*3.6))</f>
        <v>0.9550533238067046</v>
      </c>
    </row>
    <row r="90" spans="1:7" x14ac:dyDescent="0.2">
      <c r="A90" t="s">
        <v>78</v>
      </c>
      <c r="B90" s="27">
        <f>C82</f>
        <v>26.1</v>
      </c>
      <c r="C90" t="s">
        <v>59</v>
      </c>
      <c r="D90" s="2">
        <f>B90*B29</f>
        <v>2.7927</v>
      </c>
      <c r="E90" s="22" t="s">
        <v>61</v>
      </c>
      <c r="F90" s="23">
        <f>D90/(D90+D89)</f>
        <v>9.3368721165484614E-2</v>
      </c>
      <c r="G90" s="23">
        <f>1-G89</f>
        <v>4.4946676193295398E-2</v>
      </c>
    </row>
    <row r="93" spans="1:7" x14ac:dyDescent="0.2">
      <c r="A93" t="s">
        <v>79</v>
      </c>
    </row>
    <row r="94" spans="1:7" x14ac:dyDescent="0.2">
      <c r="A94" t="s">
        <v>56</v>
      </c>
    </row>
    <row r="95" spans="1:7" x14ac:dyDescent="0.2">
      <c r="A95" t="s">
        <v>80</v>
      </c>
      <c r="B95">
        <v>1000</v>
      </c>
      <c r="F95" s="4" t="s">
        <v>65</v>
      </c>
      <c r="G95" s="4" t="s">
        <v>66</v>
      </c>
    </row>
    <row r="96" spans="1:7" x14ac:dyDescent="0.2">
      <c r="A96" t="s">
        <v>75</v>
      </c>
      <c r="D96" t="s">
        <v>60</v>
      </c>
      <c r="F96" t="s">
        <v>62</v>
      </c>
      <c r="G96" t="s">
        <v>67</v>
      </c>
    </row>
    <row r="97" spans="1:7" x14ac:dyDescent="0.2">
      <c r="A97" t="s">
        <v>77</v>
      </c>
      <c r="B97" s="27">
        <f>D83*1000</f>
        <v>2360.3049725507863</v>
      </c>
      <c r="C97" t="s">
        <v>34</v>
      </c>
      <c r="D97" s="2">
        <f>B97*(B28/B4*B12*B30)</f>
        <v>952.14939558587639</v>
      </c>
      <c r="E97" s="22" t="s">
        <v>61</v>
      </c>
      <c r="F97" s="23">
        <f>D97/(D97+D98)</f>
        <v>0.73499615836189169</v>
      </c>
      <c r="G97" s="23">
        <f>(B97*$B$5)/((B97*$B$5)+(B98*3.6))</f>
        <v>0.85854189336235043</v>
      </c>
    </row>
    <row r="98" spans="1:7" x14ac:dyDescent="0.2">
      <c r="A98" t="s">
        <v>78</v>
      </c>
      <c r="B98" s="27">
        <f>D82*B97</f>
        <v>3208.3993448171336</v>
      </c>
      <c r="C98" t="s">
        <v>59</v>
      </c>
      <c r="D98" s="2">
        <f>B98*B29</f>
        <v>343.29872989543327</v>
      </c>
      <c r="E98" s="22" t="s">
        <v>61</v>
      </c>
      <c r="F98" s="23">
        <f>D98/(D98+D97)</f>
        <v>0.26500384163810831</v>
      </c>
      <c r="G98" s="23">
        <f>1-G97</f>
        <v>0.14145810663764957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and waste</vt:lpstr>
      <vt:lpstr>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2021-01-18T11:29:07Z</dcterms:created>
  <dcterms:modified xsi:type="dcterms:W3CDTF">2024-03-04T10:40:50Z</dcterms:modified>
</cp:coreProperties>
</file>